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ca\Desktop\"/>
    </mc:Choice>
  </mc:AlternateContent>
  <xr:revisionPtr revIDLastSave="0" documentId="13_ncr:1_{7263150F-BBD8-4CE5-A1AD-9E46AB09E73B}" xr6:coauthVersionLast="47" xr6:coauthVersionMax="47" xr10:uidLastSave="{00000000-0000-0000-0000-000000000000}"/>
  <bookViews>
    <workbookView xWindow="1425" yWindow="90" windowWidth="26430" windowHeight="14925" xr2:uid="{73A0BD41-BC4E-4DAE-B4A6-887882F0D540}"/>
  </bookViews>
  <sheets>
    <sheet name="11-18-24 FINAL Budget" sheetId="6" r:id="rId1"/>
    <sheet name="2" sheetId="5" r:id="rId2"/>
    <sheet name="3" sheetId="1" r:id="rId3"/>
    <sheet name="4" sheetId="3" r:id="rId4"/>
    <sheet name="5" sheetId="4" r:id="rId5"/>
  </sheets>
  <definedNames>
    <definedName name="_xlnm.Print_Area" localSheetId="0">'11-18-24 FINAL Budget'!$A$1:$L$111</definedName>
    <definedName name="_xlnm.Print_Area" localSheetId="1">'2'!$A$1:$L$94</definedName>
    <definedName name="_xlnm.Print_Area" localSheetId="2">'3'!$A$1:$L$69</definedName>
    <definedName name="_xlnm.Print_Titles" localSheetId="0">'11-18-24 FINAL Budget'!$1:$8</definedName>
    <definedName name="_xlnm.Print_Titles" localSheetId="1">'2'!$1:$8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1" i="6" l="1"/>
  <c r="L49" i="6"/>
  <c r="L27" i="6"/>
  <c r="L26" i="6"/>
  <c r="L23" i="6"/>
  <c r="L13" i="6"/>
  <c r="L41" i="6" l="1"/>
  <c r="L69" i="6"/>
  <c r="L72" i="6" s="1"/>
  <c r="K41" i="1" l="1"/>
  <c r="L35" i="6" l="1"/>
  <c r="H108" i="6" l="1"/>
  <c r="H106" i="6"/>
  <c r="H105" i="6"/>
  <c r="H107" i="6" s="1"/>
  <c r="H110" i="6" s="1"/>
  <c r="H100" i="6"/>
  <c r="H101" i="6" s="1"/>
  <c r="L74" i="6"/>
  <c r="F72" i="6"/>
  <c r="F74" i="6" s="1"/>
  <c r="J70" i="6"/>
  <c r="J72" i="6" s="1"/>
  <c r="L65" i="6"/>
  <c r="L105" i="6" s="1"/>
  <c r="J65" i="6"/>
  <c r="J105" i="6" s="1"/>
  <c r="F65" i="6"/>
  <c r="J45" i="6"/>
  <c r="L43" i="6"/>
  <c r="F43" i="6"/>
  <c r="F41" i="6"/>
  <c r="M29" i="6"/>
  <c r="F26" i="6"/>
  <c r="F24" i="6"/>
  <c r="J23" i="6"/>
  <c r="J27" i="6" s="1"/>
  <c r="J31" i="6" s="1"/>
  <c r="F23" i="6"/>
  <c r="F16" i="6"/>
  <c r="L14" i="6"/>
  <c r="N17" i="6" s="1"/>
  <c r="L18" i="6"/>
  <c r="J12" i="6"/>
  <c r="F12" i="6"/>
  <c r="J11" i="6"/>
  <c r="F11" i="6"/>
  <c r="M29" i="5"/>
  <c r="L35" i="5"/>
  <c r="L43" i="5"/>
  <c r="J23" i="5"/>
  <c r="H33" i="1"/>
  <c r="H29" i="1"/>
  <c r="H21" i="1"/>
  <c r="F13" i="6" l="1"/>
  <c r="F18" i="6" s="1"/>
  <c r="F45" i="6"/>
  <c r="F27" i="6"/>
  <c r="F31" i="6" s="1"/>
  <c r="F76" i="6"/>
  <c r="J13" i="6"/>
  <c r="J18" i="6" s="1"/>
  <c r="J106" i="6" s="1"/>
  <c r="J107" i="6" s="1"/>
  <c r="J100" i="6"/>
  <c r="J74" i="6"/>
  <c r="J76" i="6" s="1"/>
  <c r="F47" i="6"/>
  <c r="F53" i="6" s="1"/>
  <c r="L106" i="6"/>
  <c r="L107" i="6" s="1"/>
  <c r="J47" i="6"/>
  <c r="L100" i="6"/>
  <c r="L76" i="6"/>
  <c r="L14" i="5"/>
  <c r="O17" i="5" s="1"/>
  <c r="J69" i="5"/>
  <c r="J71" i="5" s="1"/>
  <c r="J13" i="5"/>
  <c r="J12" i="5"/>
  <c r="J11" i="5"/>
  <c r="F87" i="5"/>
  <c r="F80" i="5"/>
  <c r="F55" i="5"/>
  <c r="F41" i="5"/>
  <c r="F43" i="5"/>
  <c r="F24" i="5"/>
  <c r="F23" i="5"/>
  <c r="F26" i="5"/>
  <c r="F16" i="5"/>
  <c r="F12" i="5"/>
  <c r="F11" i="5"/>
  <c r="H110" i="5"/>
  <c r="H108" i="5"/>
  <c r="H107" i="5"/>
  <c r="H109" i="5" s="1"/>
  <c r="H112" i="5" s="1"/>
  <c r="H102" i="5"/>
  <c r="H103" i="5" s="1"/>
  <c r="F71" i="5"/>
  <c r="F73" i="5" s="1"/>
  <c r="L65" i="5"/>
  <c r="L107" i="5" s="1"/>
  <c r="J65" i="5"/>
  <c r="J107" i="5" s="1"/>
  <c r="F65" i="5"/>
  <c r="J45" i="5"/>
  <c r="J27" i="5"/>
  <c r="J31" i="5" s="1"/>
  <c r="L13" i="5"/>
  <c r="M12" i="5" s="1"/>
  <c r="K31" i="1"/>
  <c r="J53" i="6" l="1"/>
  <c r="J99" i="6"/>
  <c r="J49" i="6"/>
  <c r="J55" i="6" s="1"/>
  <c r="J81" i="6" s="1"/>
  <c r="F49" i="6"/>
  <c r="F55" i="6" s="1"/>
  <c r="F81" i="6" s="1"/>
  <c r="F88" i="6" s="1"/>
  <c r="F91" i="6" s="1"/>
  <c r="F94" i="6" s="1"/>
  <c r="J85" i="6" s="1"/>
  <c r="J47" i="5"/>
  <c r="J101" i="5" s="1"/>
  <c r="J102" i="5"/>
  <c r="J73" i="5"/>
  <c r="J75" i="5" s="1"/>
  <c r="J18" i="5"/>
  <c r="F75" i="5"/>
  <c r="F45" i="5"/>
  <c r="F27" i="5"/>
  <c r="F31" i="5" s="1"/>
  <c r="F13" i="5"/>
  <c r="F18" i="5" s="1"/>
  <c r="M11" i="5"/>
  <c r="L18" i="5"/>
  <c r="F36" i="1"/>
  <c r="K36" i="1" s="1"/>
  <c r="F35" i="1"/>
  <c r="K35" i="1" s="1"/>
  <c r="J108" i="6" l="1"/>
  <c r="J110" i="6" s="1"/>
  <c r="J88" i="6"/>
  <c r="J53" i="5"/>
  <c r="J49" i="5"/>
  <c r="J55" i="5" s="1"/>
  <c r="J80" i="5" s="1"/>
  <c r="J103" i="5"/>
  <c r="J108" i="5"/>
  <c r="J109" i="5" s="1"/>
  <c r="F47" i="5"/>
  <c r="F53" i="5" s="1"/>
  <c r="L108" i="5"/>
  <c r="L109" i="5" s="1"/>
  <c r="D22" i="1"/>
  <c r="G15" i="1"/>
  <c r="G16" i="1"/>
  <c r="D30" i="1"/>
  <c r="G14" i="1"/>
  <c r="T41" i="4"/>
  <c r="V41" i="4" s="1"/>
  <c r="T40" i="4"/>
  <c r="V40" i="4" s="1"/>
  <c r="T39" i="4"/>
  <c r="V39" i="4" s="1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J91" i="6" l="1"/>
  <c r="J94" i="6" s="1"/>
  <c r="L85" i="6"/>
  <c r="F49" i="5"/>
  <c r="F90" i="5" s="1"/>
  <c r="F93" i="5" s="1"/>
  <c r="J84" i="5" s="1"/>
  <c r="J87" i="5" s="1"/>
  <c r="B14" i="3"/>
  <c r="N40" i="4"/>
  <c r="P40" i="4" s="1"/>
  <c r="N41" i="4"/>
  <c r="P41" i="4" s="1"/>
  <c r="N39" i="4"/>
  <c r="P39" i="4"/>
  <c r="P8" i="4"/>
  <c r="P9" i="4"/>
  <c r="P10" i="4"/>
  <c r="P11" i="4"/>
  <c r="P12" i="4"/>
  <c r="P13" i="4"/>
  <c r="P14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7" i="4"/>
  <c r="P6" i="4"/>
  <c r="P5" i="4"/>
  <c r="P4" i="4"/>
  <c r="P3" i="4"/>
  <c r="E4" i="3"/>
  <c r="E5" i="3"/>
  <c r="E6" i="3"/>
  <c r="E7" i="3"/>
  <c r="E8" i="3"/>
  <c r="E9" i="3"/>
  <c r="E10" i="3"/>
  <c r="E11" i="3"/>
  <c r="E12" i="3"/>
  <c r="E13" i="3"/>
  <c r="L108" i="6" l="1"/>
  <c r="L110" i="6" s="1"/>
  <c r="J110" i="5"/>
  <c r="J112" i="5" s="1"/>
  <c r="J90" i="5"/>
  <c r="J93" i="5" s="1"/>
  <c r="L84" i="5"/>
  <c r="E14" i="3"/>
  <c r="E16" i="3" s="1"/>
  <c r="L110" i="5" l="1"/>
  <c r="L112" i="5" s="1"/>
  <c r="F15" i="1"/>
  <c r="K15" i="1" s="1"/>
  <c r="F6" i="1"/>
  <c r="F5" i="1"/>
  <c r="K5" i="1" s="1"/>
  <c r="L26" i="5" l="1"/>
  <c r="K14" i="1"/>
  <c r="J36" i="4"/>
  <c r="J37" i="4"/>
  <c r="J38" i="4"/>
  <c r="H40" i="4"/>
  <c r="J40" i="4" s="1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41" i="4"/>
  <c r="J41" i="4" s="1"/>
  <c r="H39" i="4"/>
  <c r="J39" i="4" s="1"/>
  <c r="C41" i="4"/>
  <c r="E41" i="4" s="1"/>
  <c r="C40" i="4"/>
  <c r="E40" i="4" s="1"/>
  <c r="C18" i="4"/>
  <c r="E18" i="4" s="1"/>
  <c r="C15" i="4"/>
  <c r="E15" i="4" s="1"/>
  <c r="E5" i="4"/>
  <c r="E4" i="4"/>
  <c r="E3" i="4"/>
  <c r="E8" i="4"/>
  <c r="E7" i="4"/>
  <c r="E6" i="4"/>
  <c r="E11" i="4"/>
  <c r="E10" i="4"/>
  <c r="E9" i="4"/>
  <c r="E38" i="4"/>
  <c r="E37" i="4"/>
  <c r="E36" i="4"/>
  <c r="E35" i="4"/>
  <c r="E34" i="4"/>
  <c r="E33" i="4"/>
  <c r="C30" i="4"/>
  <c r="E30" i="4" s="1"/>
  <c r="E32" i="4"/>
  <c r="E31" i="4"/>
  <c r="C27" i="4"/>
  <c r="E27" i="4" s="1"/>
  <c r="E29" i="4"/>
  <c r="E28" i="4"/>
  <c r="C24" i="4"/>
  <c r="E24" i="4"/>
  <c r="E26" i="4"/>
  <c r="E25" i="4"/>
  <c r="C21" i="4"/>
  <c r="E21" i="4" s="1"/>
  <c r="E23" i="4"/>
  <c r="E22" i="4"/>
  <c r="E20" i="4"/>
  <c r="E19" i="4"/>
  <c r="E17" i="4"/>
  <c r="E16" i="4"/>
  <c r="E13" i="4"/>
  <c r="E14" i="4"/>
  <c r="E12" i="4"/>
  <c r="L25" i="6" l="1"/>
  <c r="L25" i="5"/>
  <c r="C39" i="4"/>
  <c r="E39" i="4" s="1"/>
  <c r="K7" i="1"/>
  <c r="K34" i="1" l="1"/>
  <c r="K33" i="1"/>
  <c r="K32" i="1"/>
  <c r="F37" i="1" s="1"/>
  <c r="K24" i="1"/>
  <c r="K23" i="1"/>
  <c r="K16" i="1"/>
  <c r="K8" i="1"/>
  <c r="K6" i="1"/>
  <c r="K10" i="1" s="1"/>
  <c r="K37" i="1" l="1"/>
  <c r="L24" i="5"/>
  <c r="L24" i="6"/>
  <c r="K25" i="1"/>
  <c r="K17" i="1"/>
  <c r="L31" i="6" l="1"/>
  <c r="L23" i="5"/>
  <c r="L27" i="5" s="1"/>
  <c r="L31" i="5" s="1"/>
  <c r="L45" i="6" l="1"/>
  <c r="L47" i="6" s="1"/>
  <c r="L41" i="5"/>
  <c r="L45" i="5" s="1"/>
  <c r="L47" i="5" s="1"/>
  <c r="K46" i="1"/>
  <c r="K42" i="1"/>
  <c r="L53" i="5" l="1"/>
  <c r="L101" i="5" s="1"/>
  <c r="L49" i="5"/>
  <c r="L55" i="5" s="1"/>
  <c r="L53" i="6"/>
  <c r="L99" i="6" s="1"/>
  <c r="L101" i="6" s="1"/>
  <c r="L55" i="6"/>
  <c r="L81" i="6" s="1"/>
  <c r="L88" i="6" s="1"/>
  <c r="L91" i="6" s="1"/>
  <c r="L94" i="6" s="1"/>
  <c r="K44" i="1"/>
  <c r="K45" i="1" s="1"/>
  <c r="L69" i="5"/>
  <c r="L71" i="5" s="1"/>
  <c r="K47" i="1" l="1"/>
  <c r="L73" i="5"/>
  <c r="L75" i="5" s="1"/>
  <c r="L80" i="5" s="1"/>
  <c r="L87" i="5" s="1"/>
  <c r="L90" i="5" s="1"/>
  <c r="L93" i="5" s="1"/>
  <c r="L102" i="5"/>
  <c r="L103" i="5" s="1"/>
</calcChain>
</file>

<file path=xl/sharedStrings.xml><?xml version="1.0" encoding="utf-8"?>
<sst xmlns="http://schemas.openxmlformats.org/spreadsheetml/2006/main" count="682" uniqueCount="295">
  <si>
    <t>General Engineering</t>
  </si>
  <si>
    <t>Code</t>
  </si>
  <si>
    <t>Notes</t>
  </si>
  <si>
    <t>Qty.</t>
  </si>
  <si>
    <t>Units</t>
  </si>
  <si>
    <t>General Contractor</t>
  </si>
  <si>
    <t>Cleaning Contractor</t>
  </si>
  <si>
    <t>Other</t>
  </si>
  <si>
    <t>Reim.</t>
  </si>
  <si>
    <t>Subtotal</t>
  </si>
  <si>
    <t>Timeframe</t>
  </si>
  <si>
    <t>Board Meetings and Related</t>
  </si>
  <si>
    <t>Project Management</t>
  </si>
  <si>
    <t>EA</t>
  </si>
  <si>
    <t>Monthly</t>
  </si>
  <si>
    <t>Mo.</t>
  </si>
  <si>
    <t>LS</t>
  </si>
  <si>
    <t>A</t>
  </si>
  <si>
    <t>B</t>
  </si>
  <si>
    <t xml:space="preserve">Total General Engineering:  </t>
  </si>
  <si>
    <t>D</t>
  </si>
  <si>
    <t>Utility Locating Services</t>
  </si>
  <si>
    <t>E</t>
  </si>
  <si>
    <t>Tap Application Review and Inspection</t>
  </si>
  <si>
    <t>ORC and On Call Services</t>
  </si>
  <si>
    <t>As Needed</t>
  </si>
  <si>
    <t>F</t>
  </si>
  <si>
    <t xml:space="preserve">Total General Maintenance:  </t>
  </si>
  <si>
    <t>General Maintenance</t>
  </si>
  <si>
    <t>System Maintenance and Repairs - Commercial</t>
  </si>
  <si>
    <t>G</t>
  </si>
  <si>
    <t>H</t>
  </si>
  <si>
    <t>I</t>
  </si>
  <si>
    <t>Pipe ID</t>
  </si>
  <si>
    <t>Length</t>
  </si>
  <si>
    <t>Dia.</t>
  </si>
  <si>
    <t>$/LF</t>
  </si>
  <si>
    <t>Cost</t>
  </si>
  <si>
    <t>TOTAL:</t>
  </si>
  <si>
    <t>Maintenance Review</t>
  </si>
  <si>
    <t>HR</t>
  </si>
  <si>
    <t>Quarterly</t>
  </si>
  <si>
    <t>Grease Interceptor Inspections</t>
  </si>
  <si>
    <t xml:space="preserve">Total Commercial Maintenance:  </t>
  </si>
  <si>
    <t>System Maintenance and Repairs - Residential</t>
  </si>
  <si>
    <t>J</t>
  </si>
  <si>
    <t>K</t>
  </si>
  <si>
    <t>L</t>
  </si>
  <si>
    <t>Spring</t>
  </si>
  <si>
    <t>LF</t>
  </si>
  <si>
    <t>M</t>
  </si>
  <si>
    <t>Annual Maintenance Review</t>
  </si>
  <si>
    <t>Summer</t>
  </si>
  <si>
    <t>N</t>
  </si>
  <si>
    <t>Manhole Inspections</t>
  </si>
  <si>
    <t>O</t>
  </si>
  <si>
    <t>Point Repairs</t>
  </si>
  <si>
    <t xml:space="preserve">Total Residential Maintenance:  </t>
  </si>
  <si>
    <t>P</t>
  </si>
  <si>
    <t>Capital Improvements Projects</t>
  </si>
  <si>
    <t>January</t>
  </si>
  <si>
    <t xml:space="preserve">Total Capital Improvements:  </t>
  </si>
  <si>
    <t>Engineering:</t>
  </si>
  <si>
    <t>Grand Total:</t>
  </si>
  <si>
    <t>C</t>
  </si>
  <si>
    <t>GIS System - License Fee</t>
  </si>
  <si>
    <t>GIS System - Maintenance</t>
  </si>
  <si>
    <t>Month</t>
  </si>
  <si>
    <t>Locate</t>
  </si>
  <si>
    <t>Quantity</t>
  </si>
  <si>
    <t>Total Cost</t>
  </si>
  <si>
    <t>Regular</t>
  </si>
  <si>
    <t>Emergency</t>
  </si>
  <si>
    <t>Cleared</t>
  </si>
  <si>
    <t>Feb.</t>
  </si>
  <si>
    <t>March</t>
  </si>
  <si>
    <t>April</t>
  </si>
  <si>
    <t>May</t>
  </si>
  <si>
    <t>June</t>
  </si>
  <si>
    <t>July</t>
  </si>
  <si>
    <t>August</t>
  </si>
  <si>
    <t>Sept.</t>
  </si>
  <si>
    <t>Averages</t>
  </si>
  <si>
    <t>Sr. Project Engineer &amp; Principal</t>
  </si>
  <si>
    <t>Nov. 2020</t>
  </si>
  <si>
    <t>Oct. 2020</t>
  </si>
  <si>
    <t>Dec. 2020</t>
  </si>
  <si>
    <t>Jan. 2021</t>
  </si>
  <si>
    <t>2020/2021</t>
  </si>
  <si>
    <t>2021/2022</t>
  </si>
  <si>
    <t>Oct. 2021</t>
  </si>
  <si>
    <t>Nov. 2021</t>
  </si>
  <si>
    <t>Dec. 2021</t>
  </si>
  <si>
    <t>Jan. 2022</t>
  </si>
  <si>
    <t>2021.10.29</t>
  </si>
  <si>
    <t>Invoice Date</t>
  </si>
  <si>
    <t>2021.12.01</t>
  </si>
  <si>
    <t>2022.01.05</t>
  </si>
  <si>
    <t>2022.01.31</t>
  </si>
  <si>
    <t>2022.03.01</t>
  </si>
  <si>
    <t>2022.04.01</t>
  </si>
  <si>
    <t>2022.05.31</t>
  </si>
  <si>
    <t>2022.05.02</t>
  </si>
  <si>
    <t>2022.07.05</t>
  </si>
  <si>
    <t>2022.07.28</t>
  </si>
  <si>
    <t>2022.09.01</t>
  </si>
  <si>
    <t>District Engineering</t>
  </si>
  <si>
    <t xml:space="preserve">C:  Info360 Licensing fees. </t>
  </si>
  <si>
    <t>Original Plan Phase</t>
  </si>
  <si>
    <t>Pipe Defects</t>
  </si>
  <si>
    <t>2022.10.03</t>
  </si>
  <si>
    <t>MWLS-2</t>
  </si>
  <si>
    <t>CC-1</t>
  </si>
  <si>
    <t>Codes:</t>
  </si>
  <si>
    <t>RBJ: Root ball, at joint</t>
  </si>
  <si>
    <t>CM: Crack, multiple</t>
  </si>
  <si>
    <t xml:space="preserve">CC: Crack, circumferential </t>
  </si>
  <si>
    <t>MWLS: Misc. Water Level Sag</t>
  </si>
  <si>
    <t>FS: Fracture, spiral</t>
  </si>
  <si>
    <t>FC: Fracture, curcumferential</t>
  </si>
  <si>
    <t>DSZ: Deposits settled, other</t>
  </si>
  <si>
    <t>RFJ: Root fine, at joint</t>
  </si>
  <si>
    <t>TBI: Tap, intruding</t>
  </si>
  <si>
    <t>A:  Martin/Martin fees 8 hr/month at $195/hr and 1 hr/mo at $25 for writing the Board Report and attending the Board Meeting.</t>
  </si>
  <si>
    <t>B:  Martin/Martin fees 2 hr/month at $195/hr for contractor invoice review, M/M invoicing, overall project management, and administration.</t>
  </si>
  <si>
    <t>D:  Martin/Martin fees for approximately 40 hr at $160/hr for map maintenance, edits, queries, reports, etc.</t>
  </si>
  <si>
    <t>II</t>
  </si>
  <si>
    <t>13.6B-13.6</t>
  </si>
  <si>
    <t>13.6C-13.6B</t>
  </si>
  <si>
    <t>13.8-13.7</t>
  </si>
  <si>
    <t>13.9A-13.9</t>
  </si>
  <si>
    <t>8.10E-8.10D</t>
  </si>
  <si>
    <t>8.10F-8.10E</t>
  </si>
  <si>
    <t>8.10G-8.10F</t>
  </si>
  <si>
    <t>13.5A-13.5</t>
  </si>
  <si>
    <t>13.5C-13.5</t>
  </si>
  <si>
    <t>23-22</t>
  </si>
  <si>
    <t>III</t>
  </si>
  <si>
    <t>CM-3, MWLS-2</t>
  </si>
  <si>
    <t>CL-2, CC-1</t>
  </si>
  <si>
    <t>MWLS-2, CC-1</t>
  </si>
  <si>
    <t>CC-1, FC-2</t>
  </si>
  <si>
    <t>Additional 10% to account for inflation</t>
  </si>
  <si>
    <t>2023.10.03</t>
  </si>
  <si>
    <t>2023.09.05</t>
  </si>
  <si>
    <t>2023.08.01</t>
  </si>
  <si>
    <t>2023.05.31</t>
  </si>
  <si>
    <t>2023.05.02</t>
  </si>
  <si>
    <t>2023.04.03</t>
  </si>
  <si>
    <t>2023.02.28</t>
  </si>
  <si>
    <t>2023.01.04</t>
  </si>
  <si>
    <t>Oct. 2022</t>
  </si>
  <si>
    <t>Nov. 2022</t>
  </si>
  <si>
    <t>Dec. 2022</t>
  </si>
  <si>
    <t>Jan. 2023</t>
  </si>
  <si>
    <t>2022.12.14</t>
  </si>
  <si>
    <t>2022.10.27</t>
  </si>
  <si>
    <t>missing invoice</t>
  </si>
  <si>
    <t>CIPP</t>
  </si>
  <si>
    <t>Q</t>
  </si>
  <si>
    <t>2022/2023</t>
  </si>
  <si>
    <t>2023/2024</t>
  </si>
  <si>
    <t>Oct. 2023</t>
  </si>
  <si>
    <t>Nov. 2023</t>
  </si>
  <si>
    <t>Dec. 2023</t>
  </si>
  <si>
    <t>Jan. 2024</t>
  </si>
  <si>
    <t>2023.10.30</t>
  </si>
  <si>
    <t>2023.12.26</t>
  </si>
  <si>
    <t>2024.01.29</t>
  </si>
  <si>
    <t>2024.03.14</t>
  </si>
  <si>
    <t>2024.04.16</t>
  </si>
  <si>
    <t>2024.05.31</t>
  </si>
  <si>
    <t>2024.06.30</t>
  </si>
  <si>
    <t>2024.07.31</t>
  </si>
  <si>
    <t>Annually</t>
  </si>
  <si>
    <t>Acoustic Testing</t>
  </si>
  <si>
    <t xml:space="preserve">2025 Budget Grand Total:  </t>
  </si>
  <si>
    <t>Acoustic Testing Followup Cleaning/CCTV</t>
  </si>
  <si>
    <t xml:space="preserve">2025 Maintenance Total:  </t>
  </si>
  <si>
    <t xml:space="preserve">2025 Engineering Total:  </t>
  </si>
  <si>
    <t xml:space="preserve">2025 Contractor Total:  </t>
  </si>
  <si>
    <t>R</t>
  </si>
  <si>
    <t>S</t>
  </si>
  <si>
    <t>Biennial CCTV</t>
  </si>
  <si>
    <t>Restore Manhole Access Project</t>
  </si>
  <si>
    <t>Manhole Lining</t>
  </si>
  <si>
    <t>T</t>
  </si>
  <si>
    <t>SOUTHWEST SUBURBAN DENVER WATER AND SANITATION DISTRICT</t>
  </si>
  <si>
    <t xml:space="preserve"> </t>
  </si>
  <si>
    <t>APPROVED</t>
  </si>
  <si>
    <t>ESTIMATED</t>
  </si>
  <si>
    <t>PROPOSED</t>
  </si>
  <si>
    <t>ACTUAL</t>
  </si>
  <si>
    <t>BUDGET</t>
  </si>
  <si>
    <t>BUDGET YEAR</t>
  </si>
  <si>
    <t>OPERATING REVENUES</t>
  </si>
  <si>
    <t>Service Fees</t>
  </si>
  <si>
    <t>Residential - Single/Multi Family</t>
  </si>
  <si>
    <t>increase</t>
  </si>
  <si>
    <t>Commercial</t>
  </si>
  <si>
    <t>Sewer Service Fees</t>
  </si>
  <si>
    <t>Sump Pump Fee</t>
  </si>
  <si>
    <r>
      <t>Short-Term Interest</t>
    </r>
    <r>
      <rPr>
        <sz val="12"/>
        <color indexed="9"/>
        <rFont val="SWISS"/>
        <family val="1"/>
      </rPr>
      <t xml:space="preserve"> (colotrust,usb)</t>
    </r>
  </si>
  <si>
    <t>Miscellaneous Fees &amp; Fines</t>
  </si>
  <si>
    <t>Inspections Fees</t>
  </si>
  <si>
    <t>TOTAL OPERATING REVENUES</t>
  </si>
  <si>
    <t>OPERATING EXPENDITURES</t>
  </si>
  <si>
    <t>SEWER TREATMENT &amp; OPERATIONS</t>
  </si>
  <si>
    <t>System Maintenance &amp; Repairs - Res., Comm, &amp; ORC</t>
  </si>
  <si>
    <t>see M&amp;M budget</t>
  </si>
  <si>
    <t>Engineering Maintenance</t>
  </si>
  <si>
    <t>Utility Locates</t>
  </si>
  <si>
    <t>Customer Inspections (Tap, Grease, Sumps)*</t>
  </si>
  <si>
    <t>Metro Wastewater Sewer Treatment Charges</t>
  </si>
  <si>
    <t>TOTAL SEWER TREATMENT &amp; OPERATIONS</t>
  </si>
  <si>
    <t>* also includes management costs</t>
  </si>
  <si>
    <t>GENERAL OPERATING EXPENDITURES</t>
  </si>
  <si>
    <t>Office/General Operating Expenses</t>
  </si>
  <si>
    <t>Insurance</t>
  </si>
  <si>
    <t>Directors' Fees and Taxes</t>
  </si>
  <si>
    <t>Election Costs</t>
  </si>
  <si>
    <t>Professional Services</t>
  </si>
  <si>
    <t>Audit</t>
  </si>
  <si>
    <t>General Engineering, GIS</t>
  </si>
  <si>
    <t>General Legal</t>
  </si>
  <si>
    <t>Management &amp; Accounting</t>
  </si>
  <si>
    <t>TOTAL GENERAL OPERATING EXPENDITURES</t>
  </si>
  <si>
    <t>SUBTOTAL OPERATING EXPENDITURES</t>
  </si>
  <si>
    <t>SUBTOTAL NET OPERATING INCOME/(LOSS)</t>
  </si>
  <si>
    <t>Emergency Repairs/Operations Contingency</t>
  </si>
  <si>
    <t>TOTAL OPERATING EXPENDITURES</t>
  </si>
  <si>
    <t>NET OPERATING INCOME/(LOSS)</t>
  </si>
  <si>
    <t>NON-OPERATING REVENUES</t>
  </si>
  <si>
    <t>Capital Reserve Fees</t>
  </si>
  <si>
    <t>Fair Market Value Adjustment of Investments</t>
  </si>
  <si>
    <t>System Development Fees</t>
  </si>
  <si>
    <t>Long-Term Investment Interest</t>
  </si>
  <si>
    <t>TOTAL NON-OPERATING REVENUES</t>
  </si>
  <si>
    <t>NON-OPERATING EXPENDITURES</t>
  </si>
  <si>
    <t>CAPITAL PROJECTS</t>
  </si>
  <si>
    <t>Capital Improvements</t>
  </si>
  <si>
    <t>TOTAL CAPITAL PROJECTS</t>
  </si>
  <si>
    <t>TOTAL NON-OPERATING EXPENDITURES</t>
  </si>
  <si>
    <t>NET NON-OPERATING INCOME/(LOSS)</t>
  </si>
  <si>
    <t>Capital Contingency</t>
  </si>
  <si>
    <t xml:space="preserve">EXCESS (DEFICIENCY) OF REVENUES OVER </t>
  </si>
  <si>
    <t>EXPENDITURES</t>
  </si>
  <si>
    <t>FUNDS AVAILABLE</t>
  </si>
  <si>
    <t>BEGINNING OF YEAR:</t>
  </si>
  <si>
    <t>END OF YEAR:</t>
  </si>
  <si>
    <t xml:space="preserve"> * Allocation of Funds Available</t>
  </si>
  <si>
    <t>Capital Replacement Reserves</t>
  </si>
  <si>
    <t>Operating Fund Including Contingency</t>
  </si>
  <si>
    <t>Check of total revenues to audit</t>
  </si>
  <si>
    <t>Check of total expenses to audit</t>
  </si>
  <si>
    <t>BUDGET RECAP:</t>
  </si>
  <si>
    <t>Estimated Expenditures from the General Fund are as Follows:</t>
  </si>
  <si>
    <t>Operating Expenditures</t>
  </si>
  <si>
    <t>Non-Operating Expenditures</t>
  </si>
  <si>
    <t xml:space="preserve">     Total Estimated Expenditures</t>
  </si>
  <si>
    <t>Estimated Revenues for the General Fund are as Follows:</t>
  </si>
  <si>
    <t>From Sources Other Than General Tax:</t>
  </si>
  <si>
    <t xml:space="preserve">     Estimated Non-Operating Revenues</t>
  </si>
  <si>
    <t xml:space="preserve">     Estimated Operating Revenues</t>
  </si>
  <si>
    <t xml:space="preserve">          Total Sources Other Than General Tax</t>
  </si>
  <si>
    <t>Unappropriated Surpluses</t>
  </si>
  <si>
    <t xml:space="preserve">          Total Estimated Revenues for General Fund</t>
  </si>
  <si>
    <t>3 homes left</t>
  </si>
  <si>
    <t>2025 DRAFT BUDGET</t>
  </si>
  <si>
    <t>Southwest Suburban Denver Water and Sanitation District 2025 Engineering Budget</t>
  </si>
  <si>
    <t>Assumptions</t>
  </si>
  <si>
    <t>Last year + $18,500 for billing software</t>
  </si>
  <si>
    <t>Tap Fee Study</t>
  </si>
  <si>
    <t>E: Tap fee study, estimated at 4 hrs for Senior Proj. Eng., 8 hrs for Proj. Eng., 40 hrs for EIT II.</t>
  </si>
  <si>
    <t>F:  Based on ORC invoices, average of 15 locates per month at $138 each, average of 1 emergency locate per month at $160, and 60 located cleared over the phone per month at $20 each.</t>
  </si>
  <si>
    <t>Cured-in-Place Pipe Lining - ON HOLD</t>
  </si>
  <si>
    <t>G:  Based on Martin/Martin fees 2 hr each at $145/hr and 0.5 hr each at $195/hr for design review and 2 hr each at $191/hr for ORC for inspection.</t>
  </si>
  <si>
    <t>H:  Based on 2025 ORC rates.</t>
  </si>
  <si>
    <t>I:  Based on 2025 DRC rates and testing all of the commercial system.</t>
  </si>
  <si>
    <t>J:  Based on 2025 DES prices and the estimated cleaning to follow acoustic testing, based on previous years.</t>
  </si>
  <si>
    <t>K:  Martin/Martin fees.</t>
  </si>
  <si>
    <t>L:  Based on 2025 ORC rates, reinspections for failed inspections are not included as they are backcharged to the owner.</t>
  </si>
  <si>
    <t>M:  Based on 2025 DRC rates and testing all of the residential system.</t>
  </si>
  <si>
    <t>N:  Based on 2025 DES prices and the estimated cleaning to follow acoustic testing, based on previous years.</t>
  </si>
  <si>
    <t>O:  Based on 2025 DES prices. Length is the total LF of residential lines in O&amp;M Year B.</t>
  </si>
  <si>
    <t>P:  Martin/Martin fees $145/hr for coordination and review.</t>
  </si>
  <si>
    <t>Q:  Based on 2025 DRC rates</t>
  </si>
  <si>
    <r>
      <t>R:  Based on past experience, engineering costs are 20%.</t>
    </r>
    <r>
      <rPr>
        <sz val="11"/>
        <color rgb="FFFF0000"/>
        <rFont val="Calibri"/>
        <family val="2"/>
        <scheme val="minor"/>
      </rPr>
      <t xml:space="preserve"> </t>
    </r>
  </si>
  <si>
    <t>S:  Based on raising 10 manhole rims to be accessible from the surface, engineering costs are 10% for design, bidding, and construction services.</t>
  </si>
  <si>
    <t>T:  Based on cost estimation by M/M of lining manholes, engineering costs are 10% for design, bidding, and construction services.</t>
  </si>
  <si>
    <t>U</t>
  </si>
  <si>
    <t>U: Cured-in-Place Pipe Lining of 3,299 LF of mains put on hold.</t>
  </si>
  <si>
    <t>2025 BUDGET</t>
  </si>
  <si>
    <t>Rate Study</t>
  </si>
  <si>
    <t>11/18/2024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</si>
</sst>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0.0%"/>
    <numFmt numFmtId="169" formatCode="_(* #,##0_);_(* \(#,##0\);_(* &quot;-&quot;??_);_(@_)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color rgb="FFFF0000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i/>
      <sz val="12"/>
      <color indexed="10"/>
      <name val="Times New Roman"/>
      <family val="1"/>
    </font>
    <font>
      <sz val="12"/>
      <color indexed="9"/>
      <name val="SWISS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i/>
      <sz val="10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505050"/>
      <name val="Times New Roman"/>
      <family val="1"/>
    </font>
    <font>
      <b/>
      <sz val="12"/>
      <color rgb="FF50505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0" fillId="0" borderId="0"/>
    <xf numFmtId="44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left" vertical="center"/>
    </xf>
    <xf numFmtId="0" fontId="0" fillId="0" borderId="7" xfId="0" applyBorder="1"/>
    <xf numFmtId="44" fontId="0" fillId="0" borderId="8" xfId="0" applyNumberFormat="1" applyBorder="1"/>
    <xf numFmtId="0" fontId="0" fillId="0" borderId="9" xfId="0" applyBorder="1"/>
    <xf numFmtId="0" fontId="0" fillId="0" borderId="3" xfId="0" applyBorder="1"/>
    <xf numFmtId="44" fontId="0" fillId="0" borderId="3" xfId="0" applyNumberFormat="1" applyBorder="1"/>
    <xf numFmtId="44" fontId="0" fillId="0" borderId="10" xfId="0" applyNumberFormat="1" applyBorder="1"/>
    <xf numFmtId="3" fontId="5" fillId="0" borderId="1" xfId="0" applyNumberFormat="1" applyFont="1" applyBorder="1"/>
    <xf numFmtId="44" fontId="0" fillId="0" borderId="1" xfId="1" applyFont="1" applyBorder="1" applyAlignment="1">
      <alignment horizontal="center" vertical="center"/>
    </xf>
    <xf numFmtId="44" fontId="0" fillId="0" borderId="1" xfId="1" applyFont="1" applyFill="1" applyBorder="1"/>
    <xf numFmtId="44" fontId="0" fillId="0" borderId="0" xfId="1" applyFont="1" applyFill="1"/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Border="1"/>
    <xf numFmtId="44" fontId="0" fillId="0" borderId="0" xfId="1" applyFont="1" applyBorder="1"/>
    <xf numFmtId="44" fontId="0" fillId="0" borderId="0" xfId="1" applyFont="1"/>
    <xf numFmtId="0" fontId="0" fillId="0" borderId="0" xfId="0" applyAlignment="1">
      <alignment horizontal="left" vertical="center"/>
    </xf>
    <xf numFmtId="0" fontId="7" fillId="0" borderId="0" xfId="0" applyFont="1"/>
    <xf numFmtId="44" fontId="0" fillId="0" borderId="0" xfId="0" applyNumberFormat="1" applyAlignment="1">
      <alignment horizontal="right"/>
    </xf>
    <xf numFmtId="9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64" fontId="11" fillId="0" borderId="0" xfId="3" applyFont="1" applyAlignment="1">
      <alignment horizontal="center"/>
    </xf>
    <xf numFmtId="164" fontId="12" fillId="0" borderId="0" xfId="3" applyFont="1"/>
    <xf numFmtId="164" fontId="13" fillId="0" borderId="0" xfId="3" applyFont="1" applyAlignment="1">
      <alignment horizontal="center"/>
    </xf>
    <xf numFmtId="164" fontId="13" fillId="0" borderId="0" xfId="3" applyFont="1"/>
    <xf numFmtId="165" fontId="13" fillId="0" borderId="0" xfId="3" applyNumberFormat="1" applyFont="1" applyAlignment="1">
      <alignment horizontal="center"/>
    </xf>
    <xf numFmtId="44" fontId="13" fillId="0" borderId="0" xfId="4" applyFont="1" applyFill="1" applyBorder="1" applyProtection="1"/>
    <xf numFmtId="164" fontId="12" fillId="0" borderId="0" xfId="3" applyFont="1" applyAlignment="1">
      <alignment horizontal="center"/>
    </xf>
    <xf numFmtId="165" fontId="11" fillId="0" borderId="0" xfId="3" applyNumberFormat="1" applyFont="1" applyAlignment="1">
      <alignment horizontal="center"/>
    </xf>
    <xf numFmtId="164" fontId="11" fillId="0" borderId="0" xfId="3" applyFont="1"/>
    <xf numFmtId="165" fontId="11" fillId="0" borderId="0" xfId="3" applyNumberFormat="1" applyFont="1" applyAlignment="1" applyProtection="1">
      <alignment horizontal="center"/>
      <protection locked="0"/>
    </xf>
    <xf numFmtId="164" fontId="14" fillId="0" borderId="0" xfId="3" applyFont="1"/>
    <xf numFmtId="0" fontId="13" fillId="0" borderId="0" xfId="0" applyFont="1" applyAlignment="1">
      <alignment horizontal="center"/>
    </xf>
    <xf numFmtId="165" fontId="13" fillId="0" borderId="0" xfId="3" applyNumberFormat="1" applyFont="1"/>
    <xf numFmtId="165" fontId="14" fillId="0" borderId="0" xfId="4" applyNumberFormat="1" applyFont="1" applyFill="1" applyBorder="1" applyAlignment="1" applyProtection="1">
      <alignment horizontal="center"/>
    </xf>
    <xf numFmtId="44" fontId="13" fillId="0" borderId="0" xfId="4" applyFont="1" applyFill="1" applyBorder="1" applyAlignment="1" applyProtection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2" borderId="0" xfId="0" applyFill="1"/>
    <xf numFmtId="0" fontId="3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3" borderId="0" xfId="0" applyFill="1"/>
    <xf numFmtId="8" fontId="0" fillId="0" borderId="0" xfId="0" applyNumberFormat="1"/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66" fontId="0" fillId="0" borderId="0" xfId="0" applyNumberFormat="1"/>
    <xf numFmtId="43" fontId="8" fillId="0" borderId="0" xfId="2" applyFont="1" applyFill="1" applyAlignment="1">
      <alignment horizontal="left" vertical="top"/>
    </xf>
    <xf numFmtId="1" fontId="8" fillId="0" borderId="0" xfId="2" applyNumberFormat="1" applyFont="1" applyFill="1" applyAlignment="1">
      <alignment horizontal="center" vertical="center"/>
    </xf>
    <xf numFmtId="1" fontId="0" fillId="0" borderId="0" xfId="0" applyNumberFormat="1"/>
    <xf numFmtId="0" fontId="15" fillId="0" borderId="0" xfId="0" applyFont="1"/>
    <xf numFmtId="0" fontId="6" fillId="0" borderId="1" xfId="5" applyBorder="1" applyAlignment="1">
      <alignment horizontal="center" vertical="center"/>
    </xf>
    <xf numFmtId="0" fontId="6" fillId="0" borderId="1" xfId="5" applyBorder="1"/>
    <xf numFmtId="3" fontId="6" fillId="0" borderId="1" xfId="5" applyNumberFormat="1" applyBorder="1"/>
    <xf numFmtId="0" fontId="6" fillId="0" borderId="1" xfId="5" applyBorder="1" applyAlignment="1">
      <alignment horizontal="center"/>
    </xf>
    <xf numFmtId="1" fontId="17" fillId="0" borderId="0" xfId="0" applyNumberFormat="1" applyFont="1"/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5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5" fontId="18" fillId="0" borderId="11" xfId="0" applyNumberFormat="1" applyFont="1" applyBorder="1" applyAlignment="1">
      <alignment horizontal="center"/>
    </xf>
    <xf numFmtId="1" fontId="18" fillId="0" borderId="15" xfId="0" applyNumberFormat="1" applyFont="1" applyBorder="1"/>
    <xf numFmtId="1" fontId="18" fillId="0" borderId="16" xfId="0" applyNumberFormat="1" applyFont="1" applyBorder="1"/>
    <xf numFmtId="1" fontId="18" fillId="0" borderId="16" xfId="0" applyNumberFormat="1" applyFont="1" applyBorder="1" applyAlignment="1">
      <alignment horizontal="center"/>
    </xf>
    <xf numFmtId="1" fontId="17" fillId="0" borderId="17" xfId="0" applyNumberFormat="1" applyFont="1" applyBorder="1" applyAlignment="1">
      <alignment horizontal="center"/>
    </xf>
    <xf numFmtId="1" fontId="18" fillId="0" borderId="19" xfId="0" applyNumberFormat="1" applyFont="1" applyBorder="1"/>
    <xf numFmtId="1" fontId="17" fillId="0" borderId="12" xfId="0" applyNumberFormat="1" applyFont="1" applyBorder="1" applyAlignment="1">
      <alignment horizontal="center"/>
    </xf>
    <xf numFmtId="1" fontId="18" fillId="0" borderId="20" xfId="0" applyNumberFormat="1" applyFont="1" applyBorder="1"/>
    <xf numFmtId="1" fontId="18" fillId="0" borderId="3" xfId="0" applyNumberFormat="1" applyFont="1" applyBorder="1"/>
    <xf numFmtId="1" fontId="18" fillId="0" borderId="3" xfId="0" applyNumberFormat="1" applyFont="1" applyBorder="1" applyAlignment="1">
      <alignment horizontal="center"/>
    </xf>
    <xf numFmtId="1" fontId="17" fillId="0" borderId="21" xfId="0" applyNumberFormat="1" applyFont="1" applyBorder="1" applyAlignment="1">
      <alignment horizontal="center"/>
    </xf>
    <xf numFmtId="1" fontId="18" fillId="4" borderId="0" xfId="0" applyNumberFormat="1" applyFont="1" applyFill="1"/>
    <xf numFmtId="1" fontId="18" fillId="0" borderId="12" xfId="0" applyNumberFormat="1" applyFont="1" applyBorder="1" applyAlignment="1">
      <alignment horizontal="center"/>
    </xf>
    <xf numFmtId="1" fontId="17" fillId="4" borderId="0" xfId="0" applyNumberFormat="1" applyFont="1" applyFill="1"/>
    <xf numFmtId="1" fontId="18" fillId="0" borderId="12" xfId="0" applyNumberFormat="1" applyFont="1" applyBorder="1"/>
    <xf numFmtId="166" fontId="18" fillId="4" borderId="0" xfId="0" applyNumberFormat="1" applyFont="1" applyFill="1" applyProtection="1">
      <protection locked="0"/>
    </xf>
    <xf numFmtId="38" fontId="18" fillId="0" borderId="0" xfId="0" applyNumberFormat="1" applyFont="1"/>
    <xf numFmtId="38" fontId="19" fillId="0" borderId="0" xfId="0" applyNumberFormat="1" applyFont="1" applyAlignment="1">
      <alignment horizontal="right"/>
    </xf>
    <xf numFmtId="38" fontId="20" fillId="0" borderId="0" xfId="0" applyNumberFormat="1" applyFont="1"/>
    <xf numFmtId="38" fontId="19" fillId="0" borderId="12" xfId="0" applyNumberFormat="1" applyFont="1" applyBorder="1" applyAlignment="1">
      <alignment horizontal="right"/>
    </xf>
    <xf numFmtId="1" fontId="21" fillId="4" borderId="0" xfId="0" applyNumberFormat="1" applyFont="1" applyFill="1"/>
    <xf numFmtId="42" fontId="18" fillId="0" borderId="0" xfId="0" applyNumberFormat="1" applyFont="1"/>
    <xf numFmtId="42" fontId="18" fillId="0" borderId="0" xfId="0" applyNumberFormat="1" applyFont="1" applyProtection="1">
      <protection locked="0"/>
    </xf>
    <xf numFmtId="42" fontId="22" fillId="0" borderId="0" xfId="0" applyNumberFormat="1" applyFont="1"/>
    <xf numFmtId="167" fontId="17" fillId="0" borderId="12" xfId="1" applyNumberFormat="1" applyFont="1" applyFill="1" applyBorder="1" applyProtection="1">
      <protection locked="0"/>
    </xf>
    <xf numFmtId="168" fontId="0" fillId="0" borderId="0" xfId="7" applyNumberFormat="1" applyFont="1"/>
    <xf numFmtId="41" fontId="18" fillId="0" borderId="0" xfId="0" applyNumberFormat="1" applyFont="1"/>
    <xf numFmtId="41" fontId="18" fillId="0" borderId="0" xfId="0" applyNumberFormat="1" applyFont="1" applyProtection="1">
      <protection locked="0"/>
    </xf>
    <xf numFmtId="41" fontId="23" fillId="0" borderId="0" xfId="0" applyNumberFormat="1" applyFont="1"/>
    <xf numFmtId="41" fontId="17" fillId="0" borderId="21" xfId="0" applyNumberFormat="1" applyFont="1" applyBorder="1"/>
    <xf numFmtId="42" fontId="20" fillId="0" borderId="5" xfId="0" applyNumberFormat="1" applyFont="1" applyBorder="1"/>
    <xf numFmtId="42" fontId="23" fillId="0" borderId="0" xfId="0" applyNumberFormat="1" applyFont="1"/>
    <xf numFmtId="42" fontId="20" fillId="0" borderId="22" xfId="0" applyNumberFormat="1" applyFont="1" applyBorder="1"/>
    <xf numFmtId="42" fontId="20" fillId="0" borderId="0" xfId="0" applyNumberFormat="1" applyFont="1"/>
    <xf numFmtId="42" fontId="20" fillId="0" borderId="12" xfId="0" applyNumberFormat="1" applyFont="1" applyBorder="1"/>
    <xf numFmtId="41" fontId="20" fillId="0" borderId="0" xfId="0" applyNumberFormat="1" applyFont="1"/>
    <xf numFmtId="41" fontId="20" fillId="0" borderId="12" xfId="0" applyNumberFormat="1" applyFont="1" applyBorder="1"/>
    <xf numFmtId="41" fontId="22" fillId="0" borderId="0" xfId="0" applyNumberFormat="1" applyFont="1"/>
    <xf numFmtId="41" fontId="18" fillId="0" borderId="12" xfId="0" applyNumberFormat="1" applyFont="1" applyBorder="1"/>
    <xf numFmtId="41" fontId="18" fillId="0" borderId="3" xfId="0" applyNumberFormat="1" applyFont="1" applyBorder="1"/>
    <xf numFmtId="42" fontId="0" fillId="0" borderId="0" xfId="0" applyNumberFormat="1"/>
    <xf numFmtId="166" fontId="17" fillId="4" borderId="0" xfId="0" applyNumberFormat="1" applyFont="1" applyFill="1" applyProtection="1">
      <protection locked="0"/>
    </xf>
    <xf numFmtId="42" fontId="17" fillId="0" borderId="23" xfId="0" applyNumberFormat="1" applyFont="1" applyBorder="1"/>
    <xf numFmtId="42" fontId="17" fillId="0" borderId="0" xfId="0" applyNumberFormat="1" applyFont="1"/>
    <xf numFmtId="42" fontId="17" fillId="0" borderId="24" xfId="0" applyNumberFormat="1" applyFont="1" applyBorder="1"/>
    <xf numFmtId="1" fontId="18" fillId="4" borderId="0" xfId="0" applyNumberFormat="1" applyFont="1" applyFill="1" applyAlignment="1">
      <alignment horizontal="right"/>
    </xf>
    <xf numFmtId="42" fontId="18" fillId="0" borderId="25" xfId="0" applyNumberFormat="1" applyFont="1" applyBorder="1"/>
    <xf numFmtId="167" fontId="18" fillId="0" borderId="12" xfId="0" applyNumberFormat="1" applyFont="1" applyBorder="1"/>
    <xf numFmtId="42" fontId="18" fillId="0" borderId="12" xfId="0" applyNumberFormat="1" applyFont="1" applyBorder="1"/>
    <xf numFmtId="42" fontId="17" fillId="0" borderId="3" xfId="0" applyNumberFormat="1" applyFont="1" applyBorder="1"/>
    <xf numFmtId="42" fontId="17" fillId="0" borderId="21" xfId="0" applyNumberFormat="1" applyFont="1" applyBorder="1"/>
    <xf numFmtId="41" fontId="18" fillId="0" borderId="26" xfId="0" applyNumberFormat="1" applyFont="1" applyBorder="1"/>
    <xf numFmtId="166" fontId="18" fillId="0" borderId="0" xfId="0" applyNumberFormat="1" applyFont="1" applyProtection="1">
      <protection locked="0"/>
    </xf>
    <xf numFmtId="41" fontId="18" fillId="0" borderId="21" xfId="0" applyNumberFormat="1" applyFont="1" applyBorder="1"/>
    <xf numFmtId="9" fontId="0" fillId="0" borderId="0" xfId="7" applyFont="1"/>
    <xf numFmtId="41" fontId="20" fillId="0" borderId="0" xfId="0" applyNumberFormat="1" applyFont="1" applyAlignment="1">
      <alignment horizontal="right"/>
    </xf>
    <xf numFmtId="41" fontId="22" fillId="0" borderId="0" xfId="0" applyNumberFormat="1" applyFont="1" applyAlignment="1">
      <alignment horizontal="right"/>
    </xf>
    <xf numFmtId="41" fontId="20" fillId="0" borderId="12" xfId="0" applyNumberFormat="1" applyFont="1" applyBorder="1" applyAlignment="1">
      <alignment horizontal="right"/>
    </xf>
    <xf numFmtId="166" fontId="18" fillId="4" borderId="0" xfId="0" applyNumberFormat="1" applyFont="1" applyFill="1"/>
    <xf numFmtId="166" fontId="17" fillId="0" borderId="0" xfId="0" applyNumberFormat="1" applyFont="1" applyProtection="1">
      <protection locked="0"/>
    </xf>
    <xf numFmtId="42" fontId="17" fillId="0" borderId="27" xfId="0" applyNumberFormat="1" applyFont="1" applyBorder="1"/>
    <xf numFmtId="42" fontId="25" fillId="0" borderId="0" xfId="0" applyNumberFormat="1" applyFont="1"/>
    <xf numFmtId="42" fontId="17" fillId="0" borderId="12" xfId="0" applyNumberFormat="1" applyFont="1" applyBorder="1"/>
    <xf numFmtId="42" fontId="26" fillId="0" borderId="0" xfId="0" applyNumberFormat="1" applyFont="1"/>
    <xf numFmtId="42" fontId="25" fillId="0" borderId="23" xfId="0" applyNumberFormat="1" applyFont="1" applyBorder="1"/>
    <xf numFmtId="167" fontId="25" fillId="0" borderId="28" xfId="0" applyNumberFormat="1" applyFont="1" applyBorder="1"/>
    <xf numFmtId="166" fontId="18" fillId="0" borderId="29" xfId="0" applyNumberFormat="1" applyFont="1" applyBorder="1" applyProtection="1">
      <protection locked="0"/>
    </xf>
    <xf numFmtId="166" fontId="18" fillId="0" borderId="13" xfId="0" applyNumberFormat="1" applyFont="1" applyBorder="1" applyProtection="1">
      <protection locked="0"/>
    </xf>
    <xf numFmtId="41" fontId="20" fillId="0" borderId="3" xfId="0" applyNumberFormat="1" applyFont="1" applyBorder="1"/>
    <xf numFmtId="41" fontId="20" fillId="0" borderId="21" xfId="0" applyNumberFormat="1" applyFont="1" applyBorder="1"/>
    <xf numFmtId="9" fontId="0" fillId="0" borderId="0" xfId="6" applyFont="1"/>
    <xf numFmtId="42" fontId="18" fillId="0" borderId="3" xfId="0" applyNumberFormat="1" applyFont="1" applyBorder="1"/>
    <xf numFmtId="42" fontId="20" fillId="0" borderId="3" xfId="0" applyNumberFormat="1" applyFont="1" applyBorder="1"/>
    <xf numFmtId="41" fontId="27" fillId="0" borderId="0" xfId="0" applyNumberFormat="1" applyFont="1"/>
    <xf numFmtId="42" fontId="18" fillId="0" borderId="21" xfId="0" applyNumberFormat="1" applyFont="1" applyBorder="1"/>
    <xf numFmtId="0" fontId="28" fillId="0" borderId="0" xfId="0" applyFont="1"/>
    <xf numFmtId="41" fontId="29" fillId="0" borderId="0" xfId="0" applyNumberFormat="1" applyFont="1"/>
    <xf numFmtId="41" fontId="17" fillId="0" borderId="0" xfId="0" applyNumberFormat="1" applyFont="1"/>
    <xf numFmtId="41" fontId="17" fillId="0" borderId="12" xfId="0" applyNumberFormat="1" applyFont="1" applyBorder="1"/>
    <xf numFmtId="42" fontId="25" fillId="0" borderId="27" xfId="0" applyNumberFormat="1" applyFont="1" applyBorder="1"/>
    <xf numFmtId="42" fontId="25" fillId="0" borderId="24" xfId="0" applyNumberFormat="1" applyFont="1" applyBorder="1"/>
    <xf numFmtId="42" fontId="25" fillId="0" borderId="12" xfId="0" applyNumberFormat="1" applyFont="1" applyBorder="1"/>
    <xf numFmtId="6" fontId="17" fillId="4" borderId="0" xfId="0" applyNumberFormat="1" applyFont="1" applyFill="1"/>
    <xf numFmtId="41" fontId="17" fillId="0" borderId="0" xfId="0" applyNumberFormat="1" applyFont="1" applyProtection="1">
      <protection locked="0"/>
    </xf>
    <xf numFmtId="41" fontId="17" fillId="0" borderId="12" xfId="0" applyNumberFormat="1" applyFont="1" applyBorder="1" applyProtection="1">
      <protection locked="0"/>
    </xf>
    <xf numFmtId="41" fontId="20" fillId="0" borderId="30" xfId="0" applyNumberFormat="1" applyFont="1" applyBorder="1"/>
    <xf numFmtId="41" fontId="20" fillId="0" borderId="31" xfId="0" applyNumberFormat="1" applyFont="1" applyBorder="1"/>
    <xf numFmtId="41" fontId="20" fillId="0" borderId="16" xfId="0" applyNumberFormat="1" applyFont="1" applyBorder="1"/>
    <xf numFmtId="41" fontId="20" fillId="0" borderId="17" xfId="0" applyNumberFormat="1" applyFont="1" applyBorder="1"/>
    <xf numFmtId="42" fontId="17" fillId="0" borderId="28" xfId="0" applyNumberFormat="1" applyFont="1" applyBorder="1"/>
    <xf numFmtId="1" fontId="20" fillId="0" borderId="0" xfId="0" applyNumberFormat="1" applyFont="1"/>
    <xf numFmtId="1" fontId="20" fillId="0" borderId="13" xfId="0" applyNumberFormat="1" applyFont="1" applyBorder="1"/>
    <xf numFmtId="166" fontId="18" fillId="4" borderId="0" xfId="0" applyNumberFormat="1" applyFont="1" applyFill="1" applyAlignment="1" applyProtection="1">
      <alignment horizontal="right"/>
      <protection locked="0"/>
    </xf>
    <xf numFmtId="169" fontId="18" fillId="0" borderId="0" xfId="2" applyNumberFormat="1" applyFont="1" applyFill="1"/>
    <xf numFmtId="1" fontId="20" fillId="4" borderId="0" xfId="0" applyNumberFormat="1" applyFont="1" applyFill="1"/>
    <xf numFmtId="42" fontId="30" fillId="0" borderId="0" xfId="0" applyNumberFormat="1" applyFont="1"/>
    <xf numFmtId="42" fontId="30" fillId="4" borderId="0" xfId="0" applyNumberFormat="1" applyFont="1" applyFill="1"/>
    <xf numFmtId="41" fontId="30" fillId="0" borderId="0" xfId="0" applyNumberFormat="1" applyFont="1"/>
    <xf numFmtId="41" fontId="30" fillId="4" borderId="0" xfId="0" applyNumberFormat="1" applyFont="1" applyFill="1"/>
    <xf numFmtId="41" fontId="18" fillId="4" borderId="0" xfId="0" applyNumberFormat="1" applyFont="1" applyFill="1"/>
    <xf numFmtId="42" fontId="31" fillId="0" borderId="0" xfId="0" applyNumberFormat="1" applyFont="1"/>
    <xf numFmtId="42" fontId="31" fillId="4" borderId="0" xfId="0" applyNumberFormat="1" applyFont="1" applyFill="1"/>
    <xf numFmtId="42" fontId="18" fillId="0" borderId="27" xfId="0" applyNumberFormat="1" applyFont="1" applyBorder="1"/>
    <xf numFmtId="167" fontId="0" fillId="0" borderId="1" xfId="0" applyNumberFormat="1" applyBorder="1"/>
    <xf numFmtId="167" fontId="0" fillId="0" borderId="1" xfId="1" applyNumberFormat="1" applyFont="1" applyFill="1" applyBorder="1"/>
    <xf numFmtId="167" fontId="0" fillId="0" borderId="32" xfId="1" applyNumberFormat="1" applyFont="1" applyFill="1" applyBorder="1"/>
    <xf numFmtId="167" fontId="3" fillId="0" borderId="0" xfId="0" applyNumberFormat="1" applyFont="1"/>
    <xf numFmtId="167" fontId="0" fillId="0" borderId="0" xfId="0" applyNumberFormat="1"/>
    <xf numFmtId="167" fontId="1" fillId="0" borderId="0" xfId="0" applyNumberFormat="1" applyFont="1" applyAlignment="1">
      <alignment horizontal="right"/>
    </xf>
    <xf numFmtId="167" fontId="0" fillId="0" borderId="2" xfId="1" applyNumberFormat="1" applyFont="1" applyFill="1" applyBorder="1"/>
    <xf numFmtId="167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vertical="center" wrapText="1"/>
    </xf>
    <xf numFmtId="167" fontId="6" fillId="0" borderId="1" xfId="5" applyNumberFormat="1" applyBorder="1"/>
    <xf numFmtId="167" fontId="0" fillId="0" borderId="0" xfId="1" applyNumberFormat="1" applyFont="1" applyFill="1" applyBorder="1"/>
    <xf numFmtId="167" fontId="0" fillId="0" borderId="0" xfId="1" applyNumberFormat="1" applyFont="1" applyBorder="1"/>
    <xf numFmtId="0" fontId="0" fillId="0" borderId="1" xfId="5" applyFont="1" applyBorder="1" applyAlignment="1">
      <alignment horizontal="center" vertical="center"/>
    </xf>
    <xf numFmtId="167" fontId="0" fillId="5" borderId="1" xfId="1" applyNumberFormat="1" applyFont="1" applyFill="1" applyBorder="1"/>
    <xf numFmtId="167" fontId="0" fillId="5" borderId="2" xfId="1" applyNumberFormat="1" applyFont="1" applyFill="1" applyBorder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2" fontId="33" fillId="0" borderId="0" xfId="0" applyNumberFormat="1" applyFont="1"/>
    <xf numFmtId="42" fontId="33" fillId="0" borderId="23" xfId="0" applyNumberFormat="1" applyFont="1" applyBorder="1"/>
    <xf numFmtId="167" fontId="33" fillId="0" borderId="28" xfId="0" applyNumberFormat="1" applyFont="1" applyBorder="1"/>
    <xf numFmtId="42" fontId="33" fillId="0" borderId="27" xfId="0" applyNumberFormat="1" applyFont="1" applyBorder="1"/>
    <xf numFmtId="42" fontId="33" fillId="0" borderId="24" xfId="0" applyNumberFormat="1" applyFont="1" applyBorder="1"/>
    <xf numFmtId="42" fontId="34" fillId="0" borderId="0" xfId="0" applyNumberFormat="1" applyFont="1"/>
    <xf numFmtId="41" fontId="34" fillId="0" borderId="0" xfId="0" applyNumberFormat="1" applyFont="1"/>
    <xf numFmtId="41" fontId="34" fillId="4" borderId="0" xfId="0" applyNumberFormat="1" applyFont="1" applyFill="1"/>
    <xf numFmtId="42" fontId="34" fillId="4" borderId="0" xfId="0" applyNumberFormat="1" applyFont="1" applyFill="1"/>
    <xf numFmtId="42" fontId="35" fillId="0" borderId="0" xfId="0" applyNumberFormat="1" applyFont="1"/>
    <xf numFmtId="42" fontId="35" fillId="4" borderId="0" xfId="0" applyNumberFormat="1" applyFont="1" applyFill="1"/>
    <xf numFmtId="1" fontId="16" fillId="0" borderId="0" xfId="0" applyNumberFormat="1" applyFont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8">
    <cellStyle name="Comma" xfId="2" builtinId="3"/>
    <cellStyle name="Currency" xfId="1" builtinId="4"/>
    <cellStyle name="Currency 2" xfId="4" xr:uid="{EC664BD0-0394-450C-814B-39E488B51700}"/>
    <cellStyle name="Normal" xfId="0" builtinId="0"/>
    <cellStyle name="Normal 2" xfId="5" xr:uid="{4A38B9A9-ADC8-4D74-A757-3A522C0BA632}"/>
    <cellStyle name="Normal_bid tab" xfId="3" xr:uid="{4118B602-BF9A-4664-A9A1-C17184399B75}"/>
    <cellStyle name="Percent" xfId="6" builtinId="5"/>
    <cellStyle name="Percent 2" xfId="7" xr:uid="{3212F4FA-4497-4268-84D8-65FFD5569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8276-4F19-48E3-A3AB-4A9394FE155B}">
  <sheetPr>
    <pageSetUpPr fitToPage="1"/>
  </sheetPr>
  <dimension ref="A1:N331"/>
  <sheetViews>
    <sheetView tabSelected="1" zoomScale="97" zoomScaleNormal="97" workbookViewId="0">
      <selection activeCell="R100" sqref="R100:R101"/>
    </sheetView>
  </sheetViews>
  <sheetFormatPr defaultRowHeight="15"/>
  <cols>
    <col min="3" max="3" width="33.140625" customWidth="1"/>
    <col min="4" max="4" width="11.140625" customWidth="1"/>
    <col min="5" max="5" width="3.7109375" hidden="1" customWidth="1"/>
    <col min="6" max="6" width="14.28515625" bestFit="1" customWidth="1"/>
    <col min="7" max="7" width="5.140625" customWidth="1"/>
    <col min="8" max="8" width="13" bestFit="1" customWidth="1"/>
    <col min="9" max="9" width="4.28515625" customWidth="1"/>
    <col min="10" max="10" width="13.42578125" style="57" bestFit="1" customWidth="1"/>
    <col min="11" max="11" width="5.140625" customWidth="1"/>
    <col min="12" max="12" width="17.42578125" bestFit="1" customWidth="1"/>
    <col min="13" max="13" width="8.7109375" hidden="1" customWidth="1"/>
    <col min="14" max="14" width="10.28515625" hidden="1" customWidth="1"/>
  </cols>
  <sheetData>
    <row r="1" spans="1:14" ht="18.75">
      <c r="A1" s="210" t="s">
        <v>187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4" ht="15.75">
      <c r="A2" s="71"/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ht="19.5" thickBot="1">
      <c r="A3" s="210" t="s">
        <v>292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4" ht="15.75">
      <c r="A4" s="73"/>
      <c r="B4" s="73"/>
      <c r="C4" s="73"/>
      <c r="D4" s="73"/>
      <c r="E4" s="73"/>
      <c r="F4" s="73"/>
      <c r="G4" s="73"/>
      <c r="H4" s="74"/>
      <c r="I4" s="75"/>
      <c r="J4" s="74"/>
      <c r="K4" s="75"/>
      <c r="L4" s="76" t="s">
        <v>294</v>
      </c>
    </row>
    <row r="5" spans="1:14" ht="15.75">
      <c r="A5" s="77" t="s">
        <v>188</v>
      </c>
      <c r="B5" s="78"/>
      <c r="C5" s="78"/>
      <c r="D5" s="78"/>
      <c r="E5" s="78"/>
      <c r="F5" s="78"/>
      <c r="G5" s="78"/>
      <c r="H5" s="79" t="s">
        <v>189</v>
      </c>
      <c r="I5" s="79"/>
      <c r="J5" s="79" t="s">
        <v>190</v>
      </c>
      <c r="K5" s="79"/>
      <c r="L5" s="80" t="s">
        <v>191</v>
      </c>
      <c r="M5" s="211" t="s">
        <v>2</v>
      </c>
      <c r="N5" s="212"/>
    </row>
    <row r="6" spans="1:14" ht="15.75">
      <c r="A6" s="81"/>
      <c r="B6" s="72"/>
      <c r="C6" s="72"/>
      <c r="D6" s="72"/>
      <c r="E6" s="72"/>
      <c r="F6" s="73" t="s">
        <v>192</v>
      </c>
      <c r="G6" s="72"/>
      <c r="H6" s="73" t="s">
        <v>193</v>
      </c>
      <c r="I6" s="73"/>
      <c r="J6" s="73" t="s">
        <v>192</v>
      </c>
      <c r="K6" s="73"/>
      <c r="L6" s="82" t="s">
        <v>194</v>
      </c>
    </row>
    <row r="7" spans="1:14" ht="15.75">
      <c r="A7" s="83"/>
      <c r="B7" s="84"/>
      <c r="C7" s="84"/>
      <c r="D7" s="84"/>
      <c r="E7" s="84"/>
      <c r="F7" s="85">
        <v>2023</v>
      </c>
      <c r="G7" s="84"/>
      <c r="H7" s="85">
        <v>2024</v>
      </c>
      <c r="I7" s="85"/>
      <c r="J7" s="85">
        <v>2024</v>
      </c>
      <c r="K7" s="85"/>
      <c r="L7" s="86">
        <v>2025</v>
      </c>
    </row>
    <row r="8" spans="1:14" ht="15.75">
      <c r="A8" s="87"/>
      <c r="B8" s="87"/>
      <c r="C8" s="87"/>
      <c r="D8" s="87"/>
      <c r="E8" s="87"/>
      <c r="F8" s="73"/>
      <c r="G8" s="72"/>
      <c r="H8" s="73"/>
      <c r="I8" s="73"/>
      <c r="J8" s="73"/>
      <c r="K8" s="73"/>
      <c r="L8" s="88"/>
    </row>
    <row r="9" spans="1:14" ht="15.75">
      <c r="A9" s="89" t="s">
        <v>195</v>
      </c>
      <c r="B9" s="87"/>
      <c r="C9" s="87"/>
      <c r="D9" s="87"/>
      <c r="E9" s="87"/>
      <c r="F9" s="72"/>
      <c r="G9" s="72"/>
      <c r="H9" s="72"/>
      <c r="I9" s="72"/>
      <c r="J9" s="72"/>
      <c r="K9" s="72"/>
      <c r="L9" s="90"/>
    </row>
    <row r="10" spans="1:14" ht="15.75">
      <c r="A10" s="87"/>
      <c r="B10" s="87" t="s">
        <v>196</v>
      </c>
      <c r="C10" s="91"/>
      <c r="D10" s="91"/>
      <c r="E10" s="91"/>
      <c r="F10" s="92"/>
      <c r="G10" s="92"/>
      <c r="H10" s="93"/>
      <c r="I10" s="94"/>
      <c r="J10" s="93"/>
      <c r="K10" s="94"/>
      <c r="L10" s="95"/>
    </row>
    <row r="11" spans="1:14" ht="15.75">
      <c r="A11" s="87"/>
      <c r="B11" s="87"/>
      <c r="C11" s="91" t="s">
        <v>197</v>
      </c>
      <c r="D11" s="91"/>
      <c r="E11" s="96">
        <v>2</v>
      </c>
      <c r="F11" s="97">
        <f>552199+78904</f>
        <v>631103</v>
      </c>
      <c r="G11" s="97"/>
      <c r="H11" s="98">
        <v>629944</v>
      </c>
      <c r="I11" s="99"/>
      <c r="J11" s="98">
        <f>549591+80826</f>
        <v>630417</v>
      </c>
      <c r="K11" s="99"/>
      <c r="L11" s="100">
        <v>820031</v>
      </c>
      <c r="M11" s="101">
        <v>0.04</v>
      </c>
      <c r="N11" t="s">
        <v>198</v>
      </c>
    </row>
    <row r="12" spans="1:14" ht="15.75">
      <c r="A12" s="87"/>
      <c r="B12" s="87"/>
      <c r="C12" s="91" t="s">
        <v>199</v>
      </c>
      <c r="D12" s="91"/>
      <c r="E12" s="96">
        <v>3</v>
      </c>
      <c r="F12" s="102">
        <f>40161.98+54408.03</f>
        <v>94570.010000000009</v>
      </c>
      <c r="G12" s="102"/>
      <c r="H12" s="103">
        <v>95726</v>
      </c>
      <c r="I12" s="104"/>
      <c r="J12" s="103">
        <f>40189+58178</f>
        <v>98367</v>
      </c>
      <c r="K12" s="104"/>
      <c r="L12" s="105">
        <v>126304</v>
      </c>
      <c r="M12" s="101">
        <v>0.09</v>
      </c>
      <c r="N12" t="s">
        <v>198</v>
      </c>
    </row>
    <row r="13" spans="1:14" ht="15.75">
      <c r="A13" s="87"/>
      <c r="B13" s="87" t="s">
        <v>200</v>
      </c>
      <c r="C13" s="91"/>
      <c r="D13" s="91"/>
      <c r="E13" s="91"/>
      <c r="F13" s="106">
        <f>+F12+F11</f>
        <v>725673.01</v>
      </c>
      <c r="G13" s="97"/>
      <c r="H13" s="106">
        <v>725670</v>
      </c>
      <c r="I13" s="107"/>
      <c r="J13" s="106">
        <f>+J12+J11+1</f>
        <v>728785</v>
      </c>
      <c r="K13" s="107"/>
      <c r="L13" s="108">
        <f>SUM(L11:L12)</f>
        <v>946335</v>
      </c>
      <c r="M13" s="101"/>
    </row>
    <row r="14" spans="1:14" ht="15.75">
      <c r="A14" s="87"/>
      <c r="B14" s="87" t="s">
        <v>201</v>
      </c>
      <c r="C14" s="91"/>
      <c r="D14" s="91"/>
      <c r="E14" s="96">
        <v>4</v>
      </c>
      <c r="F14" s="109">
        <v>7200</v>
      </c>
      <c r="G14" s="97"/>
      <c r="H14" s="109">
        <v>9000</v>
      </c>
      <c r="I14" s="107"/>
      <c r="J14" s="109">
        <v>5850</v>
      </c>
      <c r="K14" s="107"/>
      <c r="L14" s="110">
        <f>1800*3</f>
        <v>5400</v>
      </c>
      <c r="M14" t="s">
        <v>267</v>
      </c>
    </row>
    <row r="15" spans="1:14" ht="15.75">
      <c r="A15" s="87"/>
      <c r="B15" s="87" t="s">
        <v>202</v>
      </c>
      <c r="C15" s="91"/>
      <c r="D15" s="91"/>
      <c r="E15" s="96">
        <v>5</v>
      </c>
      <c r="F15" s="111">
        <v>1127</v>
      </c>
      <c r="G15" s="102"/>
      <c r="H15" s="111">
        <v>1500</v>
      </c>
      <c r="I15" s="104"/>
      <c r="J15" s="111">
        <v>600</v>
      </c>
      <c r="K15" s="104"/>
      <c r="L15" s="112">
        <v>550</v>
      </c>
    </row>
    <row r="16" spans="1:14" ht="15.75">
      <c r="A16" s="87"/>
      <c r="B16" s="87" t="s">
        <v>203</v>
      </c>
      <c r="C16" s="91"/>
      <c r="D16" s="91"/>
      <c r="E16" s="96">
        <v>6</v>
      </c>
      <c r="F16" s="102">
        <f>17740+5352</f>
        <v>23092</v>
      </c>
      <c r="G16" s="102"/>
      <c r="H16" s="102">
        <v>20000</v>
      </c>
      <c r="I16" s="113"/>
      <c r="J16" s="102">
        <v>20000</v>
      </c>
      <c r="K16" s="113"/>
      <c r="L16" s="114">
        <v>20000</v>
      </c>
    </row>
    <row r="17" spans="1:14" ht="15.75">
      <c r="A17" s="87"/>
      <c r="B17" s="87" t="s">
        <v>204</v>
      </c>
      <c r="C17" s="91"/>
      <c r="D17" s="91"/>
      <c r="E17" s="96">
        <v>7</v>
      </c>
      <c r="F17" s="115">
        <v>8150</v>
      </c>
      <c r="G17" s="102"/>
      <c r="H17" s="115">
        <v>8000</v>
      </c>
      <c r="I17" s="104"/>
      <c r="J17" s="115">
        <v>10000</v>
      </c>
      <c r="K17" s="104"/>
      <c r="L17" s="114">
        <v>8000</v>
      </c>
      <c r="N17" s="116">
        <f>SUM(L14:L17)</f>
        <v>33950</v>
      </c>
    </row>
    <row r="18" spans="1:14" ht="16.5" thickBot="1">
      <c r="A18" s="89" t="s">
        <v>205</v>
      </c>
      <c r="B18" s="117"/>
      <c r="C18" s="89"/>
      <c r="D18" s="89"/>
      <c r="E18" s="89"/>
      <c r="F18" s="118">
        <f>SUM(F13:F17)</f>
        <v>765242.01</v>
      </c>
      <c r="G18" s="119"/>
      <c r="H18" s="118">
        <v>764170</v>
      </c>
      <c r="I18" s="119"/>
      <c r="J18" s="118">
        <f>SUM(J13:J17)</f>
        <v>765235</v>
      </c>
      <c r="K18" s="119"/>
      <c r="L18" s="120">
        <f>SUM(L13:L17)</f>
        <v>980285</v>
      </c>
    </row>
    <row r="19" spans="1:14" ht="16.5" thickTop="1">
      <c r="A19" s="87"/>
      <c r="B19" s="87"/>
      <c r="C19" s="87"/>
      <c r="D19" s="87"/>
      <c r="E19" s="87"/>
      <c r="F19" s="72"/>
      <c r="G19" s="72"/>
      <c r="H19" s="72"/>
      <c r="I19" s="72"/>
      <c r="J19" s="72"/>
      <c r="K19" s="72"/>
      <c r="L19" s="90"/>
    </row>
    <row r="20" spans="1:14" ht="15.75">
      <c r="A20" s="89" t="s">
        <v>206</v>
      </c>
      <c r="B20" s="87"/>
      <c r="C20" s="87"/>
      <c r="D20" s="87"/>
      <c r="E20" s="87"/>
      <c r="F20" s="72"/>
      <c r="G20" s="72"/>
      <c r="H20" s="72"/>
      <c r="I20" s="72"/>
      <c r="J20" s="72"/>
      <c r="K20" s="72"/>
      <c r="L20" s="90"/>
    </row>
    <row r="21" spans="1:14" ht="15.75">
      <c r="A21" s="87"/>
      <c r="B21" s="87"/>
      <c r="C21" s="87"/>
      <c r="D21" s="87"/>
      <c r="E21" s="87"/>
      <c r="F21" s="72"/>
      <c r="G21" s="72"/>
      <c r="H21" s="72"/>
      <c r="I21" s="72"/>
      <c r="J21" s="72"/>
      <c r="K21" s="72"/>
      <c r="L21" s="90"/>
    </row>
    <row r="22" spans="1:14" ht="15.75">
      <c r="A22" s="89" t="s">
        <v>207</v>
      </c>
      <c r="B22" s="87"/>
      <c r="C22" s="87"/>
      <c r="D22" s="87"/>
      <c r="E22" s="87"/>
      <c r="F22" s="72"/>
      <c r="G22" s="72"/>
      <c r="H22" s="72"/>
      <c r="I22" s="72"/>
      <c r="J22" s="72"/>
      <c r="K22" s="72"/>
      <c r="L22" s="90"/>
    </row>
    <row r="23" spans="1:14" ht="15.75">
      <c r="A23" s="87"/>
      <c r="B23" s="87" t="s">
        <v>208</v>
      </c>
      <c r="C23" s="87"/>
      <c r="D23" s="87"/>
      <c r="E23" s="96">
        <v>8</v>
      </c>
      <c r="F23" s="102">
        <f>51330+4400+47989</f>
        <v>103719</v>
      </c>
      <c r="G23" s="102"/>
      <c r="H23" s="102">
        <v>37760</v>
      </c>
      <c r="I23" s="102"/>
      <c r="J23" s="102">
        <f>48016+3080+3000+4</f>
        <v>54100</v>
      </c>
      <c r="K23" s="102"/>
      <c r="L23" s="114">
        <f>'3'!K16+'3'!K25-'3'!K23+'3'!K37-'3'!F37+3</f>
        <v>157629.76000000001</v>
      </c>
      <c r="M23" s="3" t="s">
        <v>209</v>
      </c>
    </row>
    <row r="24" spans="1:14" ht="15.75">
      <c r="A24" s="87"/>
      <c r="B24" s="87" t="s">
        <v>210</v>
      </c>
      <c r="C24" s="87"/>
      <c r="D24" s="87"/>
      <c r="E24" s="96">
        <v>9</v>
      </c>
      <c r="F24" s="102">
        <f>3883+4565</f>
        <v>8448</v>
      </c>
      <c r="G24" s="102"/>
      <c r="H24" s="102">
        <v>1790</v>
      </c>
      <c r="I24" s="102"/>
      <c r="J24" s="102">
        <v>23000</v>
      </c>
      <c r="K24" s="102"/>
      <c r="L24" s="114">
        <f>'3'!K23+'3'!F37-2</f>
        <v>16550</v>
      </c>
      <c r="M24" s="3" t="s">
        <v>209</v>
      </c>
    </row>
    <row r="25" spans="1:14" ht="15.75">
      <c r="A25" s="87"/>
      <c r="B25" s="87" t="s">
        <v>211</v>
      </c>
      <c r="C25" s="87"/>
      <c r="D25" s="87"/>
      <c r="E25" s="96">
        <v>10</v>
      </c>
      <c r="F25" s="102">
        <v>43178</v>
      </c>
      <c r="G25" s="102"/>
      <c r="H25" s="102">
        <v>49260</v>
      </c>
      <c r="I25" s="102"/>
      <c r="J25" s="102">
        <v>56000</v>
      </c>
      <c r="K25" s="102"/>
      <c r="L25" s="114">
        <f>'3'!K14</f>
        <v>49260</v>
      </c>
      <c r="M25" s="3" t="s">
        <v>209</v>
      </c>
    </row>
    <row r="26" spans="1:14" ht="15.75">
      <c r="A26" s="87"/>
      <c r="B26" s="87" t="s">
        <v>212</v>
      </c>
      <c r="C26" s="87"/>
      <c r="D26" s="87"/>
      <c r="E26" s="96">
        <v>12</v>
      </c>
      <c r="F26" s="115">
        <f>5596+1101+4234</f>
        <v>10931</v>
      </c>
      <c r="G26" s="102"/>
      <c r="H26" s="115">
        <v>7070</v>
      </c>
      <c r="I26" s="102"/>
      <c r="J26" s="115">
        <v>12000</v>
      </c>
      <c r="K26" s="102"/>
      <c r="L26" s="129">
        <f>'3'!K15+1897</f>
        <v>5744.5</v>
      </c>
      <c r="M26" s="3" t="s">
        <v>209</v>
      </c>
    </row>
    <row r="27" spans="1:14" ht="15.75">
      <c r="A27" s="87"/>
      <c r="B27" s="87"/>
      <c r="C27" s="121" t="s">
        <v>9</v>
      </c>
      <c r="D27" s="121"/>
      <c r="E27" s="121"/>
      <c r="F27" s="97">
        <f>SUM(F23:F26)</f>
        <v>166276</v>
      </c>
      <c r="G27" s="102"/>
      <c r="H27" s="122">
        <v>95880</v>
      </c>
      <c r="I27" s="102"/>
      <c r="J27" s="97">
        <f>SUM(J23:J26)</f>
        <v>145100</v>
      </c>
      <c r="K27" s="102"/>
      <c r="L27" s="123">
        <f>SUM(L23:L26)+1</f>
        <v>229185.26</v>
      </c>
    </row>
    <row r="28" spans="1:14" ht="15.75">
      <c r="A28" s="87"/>
      <c r="B28" s="87"/>
      <c r="C28" s="121"/>
      <c r="D28" s="121"/>
      <c r="E28" s="121"/>
      <c r="F28" s="102"/>
      <c r="G28" s="102"/>
      <c r="H28" s="102"/>
      <c r="I28" s="102"/>
      <c r="J28" s="102"/>
      <c r="K28" s="102"/>
      <c r="L28" s="114"/>
    </row>
    <row r="29" spans="1:14" ht="15.75">
      <c r="A29" s="87"/>
      <c r="B29" s="87" t="s">
        <v>213</v>
      </c>
      <c r="C29" s="87"/>
      <c r="D29" s="87"/>
      <c r="E29" s="96">
        <v>13</v>
      </c>
      <c r="F29" s="97">
        <v>475078</v>
      </c>
      <c r="G29" s="97"/>
      <c r="H29" s="97">
        <v>469615</v>
      </c>
      <c r="I29" s="97"/>
      <c r="J29" s="97">
        <v>498946</v>
      </c>
      <c r="K29" s="97"/>
      <c r="L29" s="123">
        <v>533300</v>
      </c>
      <c r="M29" s="101">
        <f>L29/J29-1</f>
        <v>6.885314242423024E-2</v>
      </c>
      <c r="N29" t="s">
        <v>198</v>
      </c>
    </row>
    <row r="30" spans="1:14" ht="15.75">
      <c r="A30" s="87"/>
      <c r="B30" s="87"/>
      <c r="C30" s="87"/>
      <c r="D30" s="87"/>
      <c r="E30" s="87"/>
      <c r="F30" s="97"/>
      <c r="G30" s="97"/>
      <c r="H30" s="97"/>
      <c r="I30" s="97"/>
      <c r="J30" s="97"/>
      <c r="K30" s="97"/>
      <c r="L30" s="124"/>
    </row>
    <row r="31" spans="1:14" ht="15.75">
      <c r="A31" s="89" t="s">
        <v>214</v>
      </c>
      <c r="B31" s="89"/>
      <c r="C31" s="89"/>
      <c r="D31" s="89"/>
      <c r="E31" s="89"/>
      <c r="F31" s="125">
        <f>F27+F29</f>
        <v>641354</v>
      </c>
      <c r="G31" s="119"/>
      <c r="H31" s="125">
        <v>565495</v>
      </c>
      <c r="I31" s="119"/>
      <c r="J31" s="125">
        <f>J27+J29</f>
        <v>644046</v>
      </c>
      <c r="K31" s="119"/>
      <c r="L31" s="126">
        <f>L27+L29</f>
        <v>762485.26</v>
      </c>
    </row>
    <row r="32" spans="1:14" ht="15.75">
      <c r="A32" s="87"/>
      <c r="C32" s="87"/>
      <c r="D32" s="87"/>
      <c r="E32" s="87"/>
      <c r="F32" s="102"/>
      <c r="G32" s="102"/>
      <c r="H32" s="102"/>
      <c r="I32" s="102"/>
      <c r="J32" s="102"/>
      <c r="K32" s="102"/>
      <c r="L32" s="127"/>
    </row>
    <row r="33" spans="1:14" ht="15.75">
      <c r="A33" s="87"/>
      <c r="B33" s="128" t="s">
        <v>215</v>
      </c>
      <c r="C33" s="87"/>
      <c r="D33" s="87"/>
      <c r="E33" s="87"/>
      <c r="F33" s="102"/>
      <c r="G33" s="102"/>
      <c r="H33" s="102"/>
      <c r="I33" s="102"/>
      <c r="J33" s="102"/>
      <c r="K33" s="102"/>
      <c r="L33" s="129"/>
    </row>
    <row r="34" spans="1:14" ht="15.75">
      <c r="A34" s="89" t="s">
        <v>216</v>
      </c>
      <c r="B34" s="87"/>
      <c r="C34" s="87"/>
      <c r="D34" s="87"/>
      <c r="E34" s="87"/>
      <c r="F34" s="102"/>
      <c r="G34" s="102"/>
      <c r="H34" s="102"/>
      <c r="I34" s="102"/>
      <c r="J34" s="102"/>
      <c r="K34" s="102"/>
      <c r="L34" s="114"/>
    </row>
    <row r="35" spans="1:14" ht="15.75">
      <c r="A35" s="87"/>
      <c r="B35" s="87" t="s">
        <v>217</v>
      </c>
      <c r="C35" s="91"/>
      <c r="D35" s="91"/>
      <c r="E35" s="96">
        <v>14</v>
      </c>
      <c r="F35" s="97">
        <v>34949</v>
      </c>
      <c r="G35" s="97"/>
      <c r="H35" s="97">
        <v>36000</v>
      </c>
      <c r="I35" s="97"/>
      <c r="J35" s="97">
        <v>36000</v>
      </c>
      <c r="K35" s="97"/>
      <c r="L35" s="124">
        <f>J35+18500</f>
        <v>54500</v>
      </c>
      <c r="M35" s="130" t="s">
        <v>271</v>
      </c>
    </row>
    <row r="36" spans="1:14" ht="15.75">
      <c r="A36" s="87"/>
      <c r="B36" s="87" t="s">
        <v>218</v>
      </c>
      <c r="C36" s="91"/>
      <c r="D36" s="91"/>
      <c r="E36" s="96">
        <v>15</v>
      </c>
      <c r="F36" s="102">
        <v>15642</v>
      </c>
      <c r="G36" s="102"/>
      <c r="H36" s="111">
        <v>16074.940000000002</v>
      </c>
      <c r="I36" s="104"/>
      <c r="J36" s="111">
        <v>15200</v>
      </c>
      <c r="K36" s="104"/>
      <c r="L36" s="112">
        <v>16000</v>
      </c>
      <c r="M36" s="130"/>
    </row>
    <row r="37" spans="1:14" ht="15.75">
      <c r="A37" s="87"/>
      <c r="B37" s="87" t="s">
        <v>219</v>
      </c>
      <c r="C37" s="91"/>
      <c r="D37" s="91"/>
      <c r="E37" s="96">
        <v>16</v>
      </c>
      <c r="F37" s="102">
        <v>3660</v>
      </c>
      <c r="G37" s="102"/>
      <c r="H37" s="111">
        <v>5000</v>
      </c>
      <c r="I37" s="113"/>
      <c r="J37" s="111">
        <v>4200</v>
      </c>
      <c r="K37" s="113"/>
      <c r="L37" s="112">
        <v>5000</v>
      </c>
    </row>
    <row r="38" spans="1:14" ht="15.75">
      <c r="A38" s="87"/>
      <c r="B38" s="87" t="s">
        <v>220</v>
      </c>
      <c r="C38" s="91"/>
      <c r="D38" s="91"/>
      <c r="E38" s="96">
        <v>17</v>
      </c>
      <c r="F38" s="102">
        <v>360</v>
      </c>
      <c r="G38" s="102"/>
      <c r="H38" s="131">
        <v>0</v>
      </c>
      <c r="I38" s="132"/>
      <c r="J38" s="131">
        <v>0</v>
      </c>
      <c r="K38" s="132"/>
      <c r="L38" s="133">
        <v>500</v>
      </c>
    </row>
    <row r="39" spans="1:14" ht="15.75">
      <c r="A39" s="87"/>
      <c r="B39" s="87" t="s">
        <v>221</v>
      </c>
      <c r="C39" s="91"/>
      <c r="D39" s="91"/>
      <c r="F39" s="102"/>
      <c r="G39" s="102"/>
      <c r="H39" s="111"/>
      <c r="I39" s="111"/>
      <c r="J39" s="111"/>
      <c r="K39" s="111"/>
      <c r="L39" s="112"/>
    </row>
    <row r="40" spans="1:14" ht="15.75">
      <c r="A40" s="87"/>
      <c r="B40" s="87"/>
      <c r="C40" s="87" t="s">
        <v>222</v>
      </c>
      <c r="D40" s="87"/>
      <c r="E40" s="96">
        <v>18</v>
      </c>
      <c r="F40" s="131">
        <v>5700</v>
      </c>
      <c r="G40" s="102"/>
      <c r="H40" s="131">
        <v>5800</v>
      </c>
      <c r="I40" s="132"/>
      <c r="J40" s="131">
        <v>5700</v>
      </c>
      <c r="K40" s="132"/>
      <c r="L40" s="133">
        <v>5800</v>
      </c>
    </row>
    <row r="41" spans="1:14" ht="15.75">
      <c r="A41" s="87"/>
      <c r="B41" s="87"/>
      <c r="C41" s="87" t="s">
        <v>223</v>
      </c>
      <c r="D41" s="87"/>
      <c r="E41" s="96">
        <v>19</v>
      </c>
      <c r="F41" s="102">
        <f>12836+6000</f>
        <v>18836</v>
      </c>
      <c r="G41" s="102"/>
      <c r="H41" s="131">
        <v>29900</v>
      </c>
      <c r="I41" s="132"/>
      <c r="J41" s="131">
        <v>22000</v>
      </c>
      <c r="K41" s="132"/>
      <c r="L41" s="133">
        <f>'3'!K10-'3'!K9</f>
        <v>29900</v>
      </c>
      <c r="M41" s="3" t="s">
        <v>209</v>
      </c>
    </row>
    <row r="42" spans="1:14" ht="15.75">
      <c r="A42" s="134"/>
      <c r="B42" s="134"/>
      <c r="C42" s="87" t="s">
        <v>224</v>
      </c>
      <c r="D42" s="87"/>
      <c r="E42" s="96">
        <v>21</v>
      </c>
      <c r="F42" s="102">
        <v>3589</v>
      </c>
      <c r="G42" s="102"/>
      <c r="H42" s="131">
        <v>3400</v>
      </c>
      <c r="I42" s="132"/>
      <c r="J42" s="131">
        <v>1000</v>
      </c>
      <c r="K42" s="132"/>
      <c r="L42" s="133">
        <v>1100</v>
      </c>
      <c r="M42" s="130"/>
    </row>
    <row r="43" spans="1:14" ht="15.75">
      <c r="A43" s="134"/>
      <c r="B43" s="134"/>
      <c r="C43" s="87" t="s">
        <v>225</v>
      </c>
      <c r="D43" s="87"/>
      <c r="E43" s="96">
        <v>22</v>
      </c>
      <c r="F43" s="102">
        <f>66460+22160</f>
        <v>88620</v>
      </c>
      <c r="G43" s="102"/>
      <c r="H43" s="131">
        <v>102500</v>
      </c>
      <c r="I43" s="132"/>
      <c r="J43" s="131">
        <v>100000</v>
      </c>
      <c r="K43" s="132"/>
      <c r="L43" s="133">
        <f>J43*1.05</f>
        <v>105000</v>
      </c>
      <c r="M43" s="130">
        <v>0.05</v>
      </c>
      <c r="N43" t="s">
        <v>198</v>
      </c>
    </row>
    <row r="44" spans="1:14" ht="15.75">
      <c r="A44" s="134"/>
      <c r="B44" s="134"/>
      <c r="C44" s="128"/>
      <c r="D44" s="128"/>
      <c r="E44" s="128"/>
      <c r="F44" s="115"/>
      <c r="G44" s="102"/>
      <c r="H44" s="115"/>
      <c r="I44" s="102"/>
      <c r="J44" s="115"/>
      <c r="K44" s="102"/>
      <c r="L44" s="129"/>
    </row>
    <row r="45" spans="1:14" ht="15.75">
      <c r="A45" s="89" t="s">
        <v>226</v>
      </c>
      <c r="B45" s="89"/>
      <c r="C45" s="117"/>
      <c r="D45" s="117"/>
      <c r="E45" s="117"/>
      <c r="F45" s="125">
        <f>SUM(F35:F44)</f>
        <v>171356</v>
      </c>
      <c r="G45" s="119"/>
      <c r="H45" s="125">
        <v>198674.94</v>
      </c>
      <c r="I45" s="119"/>
      <c r="J45" s="125">
        <f>SUM(J35:J44)</f>
        <v>184100</v>
      </c>
      <c r="K45" s="119"/>
      <c r="L45" s="126">
        <f>SUM(L35:L44)</f>
        <v>217800</v>
      </c>
      <c r="M45" t="s">
        <v>188</v>
      </c>
    </row>
    <row r="46" spans="1:14" ht="15.75">
      <c r="A46" s="87"/>
      <c r="B46" s="87"/>
      <c r="C46" s="87"/>
      <c r="D46" s="87"/>
      <c r="E46" s="87"/>
      <c r="F46" s="102"/>
      <c r="G46" s="102"/>
      <c r="H46" s="111"/>
      <c r="I46" s="111"/>
      <c r="J46" s="111"/>
      <c r="K46" s="111"/>
      <c r="L46" s="112"/>
    </row>
    <row r="47" spans="1:14" ht="16.5" thickBot="1">
      <c r="A47" s="89" t="s">
        <v>227</v>
      </c>
      <c r="B47" s="135"/>
      <c r="C47" s="89"/>
      <c r="D47" s="89"/>
      <c r="E47" s="89"/>
      <c r="F47" s="136">
        <f>+F45+F31</f>
        <v>812710</v>
      </c>
      <c r="G47" s="119"/>
      <c r="H47" s="136">
        <v>764169.94</v>
      </c>
      <c r="I47" s="119"/>
      <c r="J47" s="136">
        <f>+J45+J31</f>
        <v>828146</v>
      </c>
      <c r="K47" s="119"/>
      <c r="L47" s="120">
        <f>+L45+L31</f>
        <v>980285.26</v>
      </c>
    </row>
    <row r="48" spans="1:14" ht="16.5" thickTop="1">
      <c r="A48" s="87"/>
      <c r="B48" s="91"/>
      <c r="C48" s="87"/>
      <c r="D48" s="87"/>
      <c r="E48" s="87"/>
      <c r="F48" s="97"/>
      <c r="G48" s="97"/>
      <c r="H48" s="97"/>
      <c r="I48" s="97"/>
      <c r="J48" s="97"/>
      <c r="K48" s="97"/>
      <c r="L48" s="124"/>
    </row>
    <row r="49" spans="1:13" ht="15.75">
      <c r="A49" s="87"/>
      <c r="B49" s="117" t="s">
        <v>228</v>
      </c>
      <c r="C49" s="89"/>
      <c r="D49" s="89"/>
      <c r="E49" s="89"/>
      <c r="F49" s="199">
        <f>+F18-F47</f>
        <v>-47467.989999999991</v>
      </c>
      <c r="G49" s="119"/>
      <c r="H49" s="119">
        <v>0.11000000005587936</v>
      </c>
      <c r="I49" s="119"/>
      <c r="J49" s="199">
        <f>+J18-J47</f>
        <v>-62911</v>
      </c>
      <c r="K49" s="119"/>
      <c r="L49" s="138">
        <f>+L18-L47+0.58</f>
        <v>0.31999999999068673</v>
      </c>
    </row>
    <row r="50" spans="1:13" ht="15.75">
      <c r="A50" s="87"/>
      <c r="B50" s="91"/>
      <c r="C50" s="87"/>
      <c r="D50" s="87"/>
      <c r="E50" s="87"/>
      <c r="F50" s="97"/>
      <c r="G50" s="97"/>
      <c r="H50" s="97"/>
      <c r="I50" s="97"/>
      <c r="J50" s="97"/>
      <c r="K50" s="97"/>
      <c r="L50" s="124"/>
    </row>
    <row r="51" spans="1:13" ht="15.75">
      <c r="A51" s="87"/>
      <c r="B51" s="91" t="s">
        <v>229</v>
      </c>
      <c r="C51" s="87"/>
      <c r="D51" s="87"/>
      <c r="E51" s="87"/>
      <c r="F51" s="97">
        <v>0</v>
      </c>
      <c r="G51" s="97"/>
      <c r="H51" s="102">
        <v>100000</v>
      </c>
      <c r="I51" s="97"/>
      <c r="J51" s="97">
        <v>0</v>
      </c>
      <c r="K51" s="139"/>
      <c r="L51" s="114">
        <v>100000</v>
      </c>
    </row>
    <row r="52" spans="1:13" ht="15.75">
      <c r="A52" s="87"/>
      <c r="B52" s="91"/>
      <c r="C52" s="87"/>
      <c r="D52" s="87"/>
      <c r="E52" s="87"/>
      <c r="F52" s="97"/>
      <c r="G52" s="97"/>
      <c r="H52" s="102"/>
      <c r="I52" s="97"/>
      <c r="J52" s="97"/>
      <c r="K52" s="97"/>
      <c r="L52" s="114"/>
    </row>
    <row r="53" spans="1:13" ht="16.5" thickBot="1">
      <c r="A53" s="89" t="s">
        <v>230</v>
      </c>
      <c r="B53" s="87"/>
      <c r="C53" s="87"/>
      <c r="D53" s="87"/>
      <c r="E53" s="87"/>
      <c r="F53" s="136">
        <f>F47+F51</f>
        <v>812710</v>
      </c>
      <c r="G53" s="119"/>
      <c r="H53" s="120">
        <v>864169.94</v>
      </c>
      <c r="I53" s="119"/>
      <c r="J53" s="136">
        <f>J47+J51</f>
        <v>828146</v>
      </c>
      <c r="K53" s="119"/>
      <c r="L53" s="120">
        <f>L47+L51</f>
        <v>1080285.26</v>
      </c>
    </row>
    <row r="54" spans="1:13" ht="16.5" thickTop="1">
      <c r="A54" s="89"/>
      <c r="B54" s="87"/>
      <c r="C54" s="87"/>
      <c r="D54" s="87"/>
      <c r="E54" s="87"/>
      <c r="F54" s="102"/>
      <c r="G54" s="102"/>
      <c r="H54" s="111"/>
      <c r="I54" s="111"/>
      <c r="J54" s="111"/>
      <c r="K54" s="111"/>
      <c r="L54" s="112"/>
    </row>
    <row r="55" spans="1:13" ht="16.5" thickBot="1">
      <c r="A55" s="89"/>
      <c r="B55" s="89"/>
      <c r="C55" s="89" t="s">
        <v>231</v>
      </c>
      <c r="D55" s="89"/>
      <c r="E55" s="89"/>
      <c r="F55" s="200">
        <f>F49-F51</f>
        <v>-47467.989999999991</v>
      </c>
      <c r="G55" s="119"/>
      <c r="H55" s="200">
        <v>-99999.889999999941</v>
      </c>
      <c r="I55" s="119"/>
      <c r="J55" s="200">
        <f>J49-J51</f>
        <v>-62911</v>
      </c>
      <c r="K55" s="119"/>
      <c r="L55" s="201">
        <f>L49-L51-L52</f>
        <v>-99999.680000000008</v>
      </c>
    </row>
    <row r="56" spans="1:13" ht="16.5" thickTop="1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42"/>
    </row>
    <row r="57" spans="1:13" ht="16.5" thickBot="1">
      <c r="A57" s="128"/>
      <c r="C57" s="128"/>
      <c r="D57" s="128"/>
      <c r="E57" s="128"/>
      <c r="F57" s="128"/>
      <c r="G57" s="128"/>
      <c r="H57" s="128"/>
      <c r="I57" s="128"/>
      <c r="J57" s="128"/>
      <c r="K57" s="128"/>
      <c r="L57" s="143"/>
    </row>
    <row r="58" spans="1:13" ht="15.75">
      <c r="A58" s="128"/>
      <c r="B58" s="128"/>
      <c r="C58" s="128"/>
      <c r="D58" s="128"/>
      <c r="E58" s="128"/>
      <c r="F58" s="128"/>
      <c r="G58" s="128"/>
      <c r="I58" s="128"/>
      <c r="J58" s="128"/>
      <c r="K58" s="128"/>
      <c r="L58" s="112"/>
    </row>
    <row r="59" spans="1:13" ht="15.75">
      <c r="A59" s="89" t="s">
        <v>232</v>
      </c>
      <c r="B59" s="87"/>
      <c r="C59" s="87"/>
      <c r="D59" s="87"/>
      <c r="E59" s="87"/>
      <c r="F59" s="102"/>
      <c r="G59" s="102"/>
      <c r="I59" s="111"/>
      <c r="J59" s="111"/>
      <c r="K59" s="111"/>
      <c r="L59" s="112"/>
    </row>
    <row r="60" spans="1:13" ht="15.75">
      <c r="A60" s="87"/>
      <c r="B60" s="87" t="s">
        <v>233</v>
      </c>
      <c r="C60" s="91"/>
      <c r="D60" s="91"/>
      <c r="E60" s="96">
        <v>23</v>
      </c>
      <c r="F60" s="97">
        <v>178000</v>
      </c>
      <c r="G60" s="97"/>
      <c r="H60" s="111">
        <v>250000</v>
      </c>
      <c r="I60" s="97"/>
      <c r="J60" s="97">
        <v>250000</v>
      </c>
      <c r="K60" s="97"/>
      <c r="L60" s="124">
        <v>125000</v>
      </c>
      <c r="M60" s="101"/>
    </row>
    <row r="61" spans="1:13" ht="15.75">
      <c r="A61" s="87"/>
      <c r="B61" s="87" t="s">
        <v>234</v>
      </c>
      <c r="C61" s="91"/>
      <c r="D61" s="91"/>
      <c r="E61" s="96">
        <v>24</v>
      </c>
      <c r="F61" s="102">
        <v>67478</v>
      </c>
      <c r="G61" s="97"/>
      <c r="H61" s="111">
        <v>0</v>
      </c>
      <c r="I61" s="97"/>
      <c r="J61" s="102">
        <v>0</v>
      </c>
      <c r="K61" s="97"/>
      <c r="L61" s="114">
        <v>0</v>
      </c>
    </row>
    <row r="62" spans="1:13" ht="15.75" hidden="1">
      <c r="A62" s="87"/>
      <c r="B62" s="87" t="s">
        <v>235</v>
      </c>
      <c r="C62" s="91"/>
      <c r="D62" s="91"/>
      <c r="E62" s="96">
        <v>25</v>
      </c>
      <c r="F62" s="102">
        <v>0</v>
      </c>
      <c r="G62" s="102"/>
      <c r="H62" s="97">
        <v>0</v>
      </c>
      <c r="I62" s="102"/>
      <c r="J62" s="102">
        <v>0</v>
      </c>
      <c r="K62" s="97"/>
      <c r="L62" s="114">
        <v>0</v>
      </c>
    </row>
    <row r="63" spans="1:13" ht="15.75">
      <c r="A63" s="87"/>
      <c r="B63" s="87" t="s">
        <v>236</v>
      </c>
      <c r="C63" s="91"/>
      <c r="D63" s="91"/>
      <c r="E63" s="96">
        <v>26</v>
      </c>
      <c r="F63" s="144">
        <v>49463.63</v>
      </c>
      <c r="G63" s="102"/>
      <c r="H63" s="102">
        <v>35000</v>
      </c>
      <c r="I63" s="111"/>
      <c r="J63" s="144">
        <v>49000</v>
      </c>
      <c r="K63" s="111"/>
      <c r="L63" s="145">
        <v>40000</v>
      </c>
    </row>
    <row r="64" spans="1:13" ht="15.75">
      <c r="A64" s="87"/>
      <c r="B64" s="87"/>
      <c r="C64" s="91"/>
      <c r="D64" s="91"/>
      <c r="E64" s="91"/>
      <c r="F64" s="102"/>
      <c r="G64" s="102"/>
      <c r="H64" s="111"/>
      <c r="I64" s="111"/>
      <c r="J64" s="111"/>
      <c r="K64" s="111"/>
      <c r="L64" s="112"/>
    </row>
    <row r="65" spans="1:13" ht="16.5" thickBot="1">
      <c r="A65" s="89" t="s">
        <v>237</v>
      </c>
      <c r="B65" s="89"/>
      <c r="C65" s="117"/>
      <c r="D65" s="117"/>
      <c r="E65" s="117"/>
      <c r="F65" s="136">
        <f>SUM(F60:F64)</f>
        <v>294941.63</v>
      </c>
      <c r="G65" s="119"/>
      <c r="H65" s="136">
        <v>285000</v>
      </c>
      <c r="I65" s="119"/>
      <c r="J65" s="136">
        <f>SUM(J60:J64)</f>
        <v>299000</v>
      </c>
      <c r="K65" s="119"/>
      <c r="L65" s="120">
        <f>SUM(L60:L64)</f>
        <v>165000</v>
      </c>
      <c r="M65" s="146"/>
    </row>
    <row r="66" spans="1:13" ht="16.5" thickTop="1">
      <c r="A66" s="87"/>
      <c r="B66" s="87"/>
      <c r="C66" s="91"/>
      <c r="D66" s="91"/>
      <c r="F66" s="102"/>
      <c r="G66" s="102"/>
      <c r="H66" s="111"/>
      <c r="I66" s="111"/>
      <c r="J66" s="111"/>
      <c r="K66" s="111"/>
      <c r="L66" s="112"/>
    </row>
    <row r="67" spans="1:13" ht="15.75">
      <c r="A67" s="89" t="s">
        <v>238</v>
      </c>
      <c r="B67" s="87"/>
      <c r="C67" s="91"/>
      <c r="D67" s="91"/>
      <c r="E67" s="91"/>
      <c r="F67" s="102"/>
      <c r="G67" s="102"/>
      <c r="H67" s="111"/>
      <c r="I67" s="111"/>
      <c r="J67" s="111"/>
      <c r="K67" s="111"/>
      <c r="L67" s="112"/>
    </row>
    <row r="68" spans="1:13" ht="15.75">
      <c r="A68" s="91"/>
      <c r="B68" s="87" t="s">
        <v>239</v>
      </c>
      <c r="C68" s="87"/>
      <c r="D68" s="87"/>
      <c r="E68" s="87"/>
      <c r="F68" s="102"/>
      <c r="G68" s="102"/>
      <c r="H68" s="111"/>
      <c r="I68" s="111"/>
      <c r="J68" s="111"/>
      <c r="K68" s="111"/>
      <c r="L68" s="112"/>
    </row>
    <row r="69" spans="1:13" ht="15.75">
      <c r="A69" s="91"/>
      <c r="B69" s="87"/>
      <c r="C69" s="87" t="s">
        <v>293</v>
      </c>
      <c r="D69" s="87"/>
      <c r="E69" s="87"/>
      <c r="F69" s="102"/>
      <c r="G69" s="102"/>
      <c r="H69" s="111"/>
      <c r="I69" s="111"/>
      <c r="J69" s="111"/>
      <c r="K69" s="111"/>
      <c r="L69" s="112">
        <f>'3'!K9</f>
        <v>7500</v>
      </c>
    </row>
    <row r="70" spans="1:13" ht="15.75">
      <c r="A70" s="87"/>
      <c r="B70" s="87"/>
      <c r="C70" s="87" t="s">
        <v>240</v>
      </c>
      <c r="D70" s="87"/>
      <c r="E70" s="96">
        <v>27</v>
      </c>
      <c r="F70" s="147">
        <v>206812</v>
      </c>
      <c r="G70" s="102"/>
      <c r="H70" s="148">
        <v>800000</v>
      </c>
      <c r="I70" s="111"/>
      <c r="J70" s="148">
        <f>-27332.58+791600+3</f>
        <v>764270.42</v>
      </c>
      <c r="K70" s="149"/>
      <c r="L70" s="150">
        <v>0</v>
      </c>
      <c r="M70" s="151"/>
    </row>
    <row r="71" spans="1:13" ht="15.75">
      <c r="A71" s="134"/>
      <c r="B71" s="134"/>
      <c r="C71" s="87"/>
      <c r="D71" s="87"/>
      <c r="E71" s="87"/>
      <c r="F71" s="102"/>
      <c r="G71" s="102"/>
      <c r="H71" s="111"/>
      <c r="I71" s="111"/>
      <c r="J71" s="111"/>
      <c r="K71" s="111"/>
      <c r="L71" s="112"/>
      <c r="M71" s="151"/>
    </row>
    <row r="72" spans="1:13" ht="15.75">
      <c r="A72" s="87"/>
      <c r="B72" s="87" t="s">
        <v>241</v>
      </c>
      <c r="C72" s="87"/>
      <c r="D72" s="87"/>
      <c r="E72" s="87"/>
      <c r="F72" s="147">
        <f>SUM(F70:F71)</f>
        <v>206812</v>
      </c>
      <c r="G72" s="97"/>
      <c r="H72" s="147">
        <v>800000</v>
      </c>
      <c r="I72" s="97"/>
      <c r="J72" s="147">
        <f>SUM(J70:J71)</f>
        <v>764270.42</v>
      </c>
      <c r="K72" s="97"/>
      <c r="L72" s="150">
        <f>SUM(L69:L70)</f>
        <v>7500</v>
      </c>
    </row>
    <row r="73" spans="1:13" ht="15.75">
      <c r="A73" s="87"/>
      <c r="B73" s="87"/>
      <c r="C73" s="87"/>
      <c r="D73" s="87"/>
      <c r="E73" s="87"/>
      <c r="F73" s="102"/>
      <c r="G73" s="102"/>
      <c r="H73" s="111"/>
      <c r="I73" s="111"/>
      <c r="J73" s="111"/>
      <c r="K73" s="111"/>
      <c r="L73" s="112"/>
    </row>
    <row r="74" spans="1:13" ht="15.75">
      <c r="A74" s="89" t="s">
        <v>242</v>
      </c>
      <c r="B74" s="89"/>
      <c r="C74" s="89"/>
      <c r="D74" s="89"/>
      <c r="E74" s="89"/>
      <c r="F74" s="125">
        <f>+F72</f>
        <v>206812</v>
      </c>
      <c r="G74" s="119"/>
      <c r="H74" s="125">
        <v>800000</v>
      </c>
      <c r="I74" s="119"/>
      <c r="J74" s="125">
        <f>+J72</f>
        <v>764270.42</v>
      </c>
      <c r="K74" s="119"/>
      <c r="L74" s="126">
        <f>+L72</f>
        <v>7500</v>
      </c>
    </row>
    <row r="75" spans="1:13" ht="15.75">
      <c r="A75" s="87"/>
      <c r="B75" s="87"/>
      <c r="C75" s="87"/>
      <c r="D75" s="87"/>
      <c r="F75" s="111"/>
      <c r="G75" s="111"/>
      <c r="H75" s="111"/>
      <c r="I75" s="111"/>
      <c r="J75" s="111"/>
      <c r="K75" s="111"/>
      <c r="L75" s="112"/>
    </row>
    <row r="76" spans="1:13" ht="16.5" thickBot="1">
      <c r="A76" s="87"/>
      <c r="B76" s="87"/>
      <c r="C76" s="89" t="s">
        <v>243</v>
      </c>
      <c r="D76" s="89"/>
      <c r="E76" s="89"/>
      <c r="F76" s="118">
        <f>+F65-F74</f>
        <v>88129.63</v>
      </c>
      <c r="G76" s="119"/>
      <c r="H76" s="200">
        <v>-515000</v>
      </c>
      <c r="I76" s="119"/>
      <c r="J76" s="200">
        <f>+J65-J74</f>
        <v>-465270.42000000004</v>
      </c>
      <c r="K76" s="119"/>
      <c r="L76" s="165">
        <f>+L65-L74</f>
        <v>157500</v>
      </c>
    </row>
    <row r="77" spans="1:13" ht="16.5" thickTop="1">
      <c r="A77" s="87"/>
      <c r="B77" s="87"/>
      <c r="C77" s="89"/>
      <c r="D77" s="89"/>
      <c r="E77" s="89"/>
      <c r="F77" s="137"/>
      <c r="G77" s="119"/>
      <c r="H77" s="119"/>
      <c r="I77" s="119"/>
      <c r="J77" s="119"/>
      <c r="K77" s="119"/>
      <c r="L77" s="138"/>
    </row>
    <row r="78" spans="1:13" ht="15.75">
      <c r="A78" s="87"/>
      <c r="B78" s="87"/>
      <c r="C78" s="87" t="s">
        <v>244</v>
      </c>
      <c r="D78" s="89"/>
      <c r="E78" s="89"/>
      <c r="F78" s="137"/>
      <c r="G78" s="119"/>
      <c r="H78" s="102">
        <v>100000</v>
      </c>
      <c r="I78" s="119"/>
      <c r="J78" s="97">
        <v>0</v>
      </c>
      <c r="K78" s="119"/>
      <c r="L78" s="124">
        <v>100000</v>
      </c>
    </row>
    <row r="79" spans="1:13" ht="15.75">
      <c r="A79" s="87"/>
      <c r="B79" s="87"/>
      <c r="C79" s="87"/>
      <c r="D79" s="87"/>
      <c r="E79" s="87"/>
      <c r="F79" s="111"/>
      <c r="G79" s="111"/>
      <c r="I79" s="111"/>
      <c r="J79" s="111"/>
      <c r="K79" s="111"/>
      <c r="L79" s="114"/>
    </row>
    <row r="80" spans="1:13" ht="15.75">
      <c r="A80" s="89" t="s">
        <v>245</v>
      </c>
      <c r="B80" s="89"/>
      <c r="C80" s="89"/>
      <c r="D80" s="89"/>
      <c r="E80" s="89"/>
      <c r="F80" s="152"/>
      <c r="G80" s="152"/>
      <c r="H80" s="153"/>
      <c r="I80" s="152"/>
      <c r="J80" s="152"/>
      <c r="K80" s="152"/>
      <c r="L80" s="154"/>
    </row>
    <row r="81" spans="1:12" ht="16.5" thickBot="1">
      <c r="A81" s="117" t="s">
        <v>246</v>
      </c>
      <c r="B81" s="117"/>
      <c r="C81" s="117"/>
      <c r="D81" s="117"/>
      <c r="E81" s="96">
        <v>28</v>
      </c>
      <c r="F81" s="136">
        <f>+F55+F76+1</f>
        <v>40662.640000000014</v>
      </c>
      <c r="G81" s="119"/>
      <c r="H81" s="202">
        <v>-714999.8899999999</v>
      </c>
      <c r="I81" s="119"/>
      <c r="J81" s="202">
        <f>+J55+J76</f>
        <v>-528181.42000000004</v>
      </c>
      <c r="K81" s="119"/>
      <c r="L81" s="203">
        <f>+L55+L76-L78</f>
        <v>-42499.680000000008</v>
      </c>
    </row>
    <row r="82" spans="1:12" ht="16.5" thickTop="1">
      <c r="A82" s="117"/>
      <c r="B82" s="117"/>
      <c r="C82" s="117"/>
      <c r="D82" s="117"/>
      <c r="E82" s="96"/>
      <c r="F82" s="137"/>
      <c r="G82" s="119"/>
      <c r="H82" s="137"/>
      <c r="I82" s="119"/>
      <c r="J82" s="137"/>
      <c r="K82" s="119"/>
      <c r="L82" s="157"/>
    </row>
    <row r="83" spans="1:12" ht="15.75">
      <c r="A83" s="117"/>
      <c r="B83" s="117"/>
      <c r="C83" s="117"/>
      <c r="D83" s="117"/>
      <c r="E83" s="96"/>
      <c r="F83" s="137"/>
      <c r="G83" s="119"/>
      <c r="H83" s="137"/>
      <c r="I83" s="119"/>
      <c r="J83" s="137"/>
      <c r="K83" s="119"/>
      <c r="L83" s="157"/>
    </row>
    <row r="84" spans="1:12" ht="15.75">
      <c r="A84" s="89" t="s">
        <v>247</v>
      </c>
      <c r="B84" s="89"/>
      <c r="C84" s="87"/>
      <c r="D84" s="87"/>
      <c r="E84" s="87"/>
      <c r="F84" s="72"/>
      <c r="G84" s="72"/>
      <c r="H84" s="72"/>
      <c r="I84" s="72"/>
      <c r="J84" s="72"/>
      <c r="K84" s="72"/>
      <c r="L84" s="90"/>
    </row>
    <row r="85" spans="1:12" ht="15.75">
      <c r="A85" s="158" t="s">
        <v>248</v>
      </c>
      <c r="B85" s="158"/>
      <c r="C85" s="158"/>
      <c r="D85" s="158"/>
      <c r="E85" s="96">
        <v>1</v>
      </c>
      <c r="F85" s="119">
        <v>2656759</v>
      </c>
      <c r="G85" s="119"/>
      <c r="H85" s="119">
        <v>2654456.75</v>
      </c>
      <c r="I85" s="119"/>
      <c r="J85" s="119">
        <f>F94</f>
        <v>2697421.64</v>
      </c>
      <c r="K85" s="119"/>
      <c r="L85" s="138">
        <f>+J88</f>
        <v>2169240.2200000002</v>
      </c>
    </row>
    <row r="86" spans="1:12" ht="15.75">
      <c r="A86" s="117"/>
      <c r="B86" s="117"/>
      <c r="C86" s="117"/>
      <c r="D86" s="117"/>
      <c r="E86" s="117"/>
      <c r="F86" s="119"/>
      <c r="G86" s="119"/>
      <c r="I86" s="119"/>
      <c r="J86" s="159"/>
      <c r="K86" s="119"/>
      <c r="L86" s="160"/>
    </row>
    <row r="87" spans="1:12" ht="15.75">
      <c r="A87" s="89" t="s">
        <v>247</v>
      </c>
      <c r="B87" s="89"/>
      <c r="C87" s="87"/>
      <c r="D87" s="87"/>
      <c r="E87" s="87"/>
      <c r="F87" s="97"/>
      <c r="G87" s="97"/>
      <c r="H87" s="111"/>
      <c r="I87" s="97"/>
      <c r="J87" s="111"/>
      <c r="K87" s="97"/>
      <c r="L87" s="112"/>
    </row>
    <row r="88" spans="1:12" ht="16.5" thickBot="1">
      <c r="A88" s="158" t="s">
        <v>249</v>
      </c>
      <c r="B88" s="158"/>
      <c r="C88" s="158"/>
      <c r="D88" s="158"/>
      <c r="E88" s="96">
        <v>29</v>
      </c>
      <c r="F88" s="118">
        <f>+F85+F81</f>
        <v>2697421.64</v>
      </c>
      <c r="G88" s="97"/>
      <c r="H88" s="159">
        <v>1939456.86</v>
      </c>
      <c r="I88" s="97"/>
      <c r="J88" s="119">
        <f>+J85+J55+J76</f>
        <v>2169240.2200000002</v>
      </c>
      <c r="K88" s="97"/>
      <c r="L88" s="138">
        <f>+L85+L81</f>
        <v>2126740.54</v>
      </c>
    </row>
    <row r="89" spans="1:12" ht="16.5" thickTop="1">
      <c r="A89" s="87"/>
      <c r="B89" s="87"/>
      <c r="C89" s="87"/>
      <c r="D89" s="87"/>
      <c r="E89" s="87"/>
      <c r="F89" s="97"/>
      <c r="G89" s="97"/>
      <c r="H89" s="161"/>
      <c r="I89" s="97"/>
      <c r="J89" s="161"/>
      <c r="K89" s="97"/>
      <c r="L89" s="162"/>
    </row>
    <row r="90" spans="1:12" ht="15.75" hidden="1">
      <c r="A90" s="89" t="s">
        <v>250</v>
      </c>
      <c r="B90" s="89"/>
      <c r="C90" s="87"/>
      <c r="D90" s="87"/>
      <c r="E90" s="87"/>
      <c r="F90" s="97"/>
      <c r="G90" s="97"/>
      <c r="H90" s="111">
        <v>350000</v>
      </c>
      <c r="I90" s="97"/>
      <c r="J90" s="111"/>
      <c r="K90" s="97"/>
      <c r="L90" s="112"/>
    </row>
    <row r="91" spans="1:12" ht="15.75" hidden="1">
      <c r="A91" s="134"/>
      <c r="B91" s="134"/>
      <c r="C91" s="87" t="s">
        <v>251</v>
      </c>
      <c r="D91" s="87"/>
      <c r="E91" s="87"/>
      <c r="F91" s="97">
        <f>F88-F92</f>
        <v>2347421.64</v>
      </c>
      <c r="G91" s="97"/>
      <c r="H91" s="97"/>
      <c r="I91" s="97"/>
      <c r="J91" s="97">
        <f>J88-J92</f>
        <v>1819240.2200000002</v>
      </c>
      <c r="K91" s="97"/>
      <c r="L91" s="124">
        <f>L88-L92</f>
        <v>1776740.54</v>
      </c>
    </row>
    <row r="92" spans="1:12" ht="15.75" hidden="1">
      <c r="A92" s="134"/>
      <c r="B92" s="134"/>
      <c r="C92" s="87" t="s">
        <v>252</v>
      </c>
      <c r="D92" s="87"/>
      <c r="E92" s="87"/>
      <c r="F92" s="115">
        <v>350000</v>
      </c>
      <c r="G92" s="97"/>
      <c r="H92" s="102">
        <v>2622358.0399999996</v>
      </c>
      <c r="I92" s="97"/>
      <c r="J92" s="111">
        <v>350000</v>
      </c>
      <c r="K92" s="97"/>
      <c r="L92" s="112">
        <v>350000</v>
      </c>
    </row>
    <row r="93" spans="1:12" ht="15.75" hidden="1">
      <c r="A93" s="134"/>
      <c r="B93" s="134"/>
      <c r="C93" s="87"/>
      <c r="D93" s="87"/>
      <c r="E93" s="87"/>
      <c r="F93" s="97"/>
      <c r="G93" s="97"/>
      <c r="H93" s="163"/>
      <c r="I93" s="97"/>
      <c r="J93" s="163"/>
      <c r="K93" s="97"/>
      <c r="L93" s="164"/>
    </row>
    <row r="94" spans="1:12" ht="16.5" hidden="1" thickBot="1">
      <c r="A94" s="158"/>
      <c r="B94" s="158"/>
      <c r="C94" s="158"/>
      <c r="D94" s="158"/>
      <c r="E94" s="158"/>
      <c r="F94" s="118">
        <f>F91+F92</f>
        <v>2697421.64</v>
      </c>
      <c r="G94" s="97"/>
      <c r="H94" s="118">
        <v>2811061.11</v>
      </c>
      <c r="I94" s="97"/>
      <c r="J94" s="118">
        <f>SUM(J91:J92)</f>
        <v>2169240.2200000002</v>
      </c>
      <c r="K94" s="97"/>
      <c r="L94" s="165">
        <f>SUM(L91:L92)</f>
        <v>2126740.54</v>
      </c>
    </row>
    <row r="95" spans="1:12" ht="16.5" thickBot="1">
      <c r="A95" s="87"/>
      <c r="B95" s="87"/>
      <c r="C95" s="87"/>
      <c r="D95" s="87"/>
      <c r="E95" s="87"/>
      <c r="F95" s="72"/>
      <c r="G95" s="72"/>
      <c r="H95" s="166"/>
      <c r="I95" s="166"/>
      <c r="J95" s="166"/>
      <c r="K95" s="166"/>
      <c r="L95" s="167"/>
    </row>
    <row r="96" spans="1:12" ht="15.75">
      <c r="A96" s="87"/>
      <c r="B96" s="87"/>
      <c r="C96" s="87"/>
      <c r="D96" s="87"/>
      <c r="E96" s="87"/>
      <c r="F96" s="72"/>
      <c r="G96" s="72"/>
      <c r="H96" s="170"/>
      <c r="I96" s="166"/>
      <c r="J96" s="166"/>
      <c r="K96" s="166"/>
      <c r="L96" s="166"/>
    </row>
    <row r="97" spans="1:12" ht="15.75">
      <c r="A97" s="89" t="s">
        <v>255</v>
      </c>
      <c r="B97" s="89"/>
      <c r="C97" s="89"/>
      <c r="D97" s="89"/>
      <c r="E97" s="89"/>
      <c r="F97" s="72"/>
      <c r="G97" s="87"/>
      <c r="H97" s="87"/>
      <c r="I97" s="87"/>
      <c r="J97" s="72"/>
      <c r="K97" s="72"/>
      <c r="L97" s="72"/>
    </row>
    <row r="98" spans="1:12" ht="15.75">
      <c r="A98" s="89"/>
      <c r="B98" s="87" t="s">
        <v>256</v>
      </c>
      <c r="C98" s="89"/>
      <c r="D98" s="89"/>
      <c r="E98" s="89"/>
      <c r="F98" s="72"/>
      <c r="G98" s="87"/>
      <c r="H98" s="87"/>
      <c r="I98" s="87"/>
      <c r="J98" s="72"/>
      <c r="K98" s="87"/>
      <c r="L98" s="72"/>
    </row>
    <row r="99" spans="1:12" ht="15.75">
      <c r="A99" s="89"/>
      <c r="B99" s="87"/>
      <c r="C99" s="87" t="s">
        <v>257</v>
      </c>
      <c r="D99" s="87"/>
      <c r="E99" s="87"/>
      <c r="F99" s="171"/>
      <c r="G99" s="172"/>
      <c r="H99" s="172"/>
      <c r="I99" s="172"/>
      <c r="J99" s="204">
        <f>+J47</f>
        <v>828146</v>
      </c>
      <c r="K99" s="87"/>
      <c r="L99" s="97">
        <f>L53</f>
        <v>1080285.26</v>
      </c>
    </row>
    <row r="100" spans="1:12" ht="15.75">
      <c r="A100" s="89"/>
      <c r="B100" s="87"/>
      <c r="C100" s="87" t="s">
        <v>258</v>
      </c>
      <c r="D100" s="87"/>
      <c r="E100" s="87"/>
      <c r="F100" s="173"/>
      <c r="G100" s="174"/>
      <c r="H100" s="206">
        <f>+H72</f>
        <v>800000</v>
      </c>
      <c r="I100" s="174"/>
      <c r="J100" s="205">
        <f>+J72</f>
        <v>764270.42</v>
      </c>
      <c r="K100" s="175"/>
      <c r="L100" s="102">
        <f>+L72+L78</f>
        <v>107500</v>
      </c>
    </row>
    <row r="101" spans="1:12" ht="16.5" thickBot="1">
      <c r="A101" s="89"/>
      <c r="B101" s="89"/>
      <c r="C101" s="89" t="s">
        <v>259</v>
      </c>
      <c r="D101" s="89"/>
      <c r="E101" s="89"/>
      <c r="F101" s="176"/>
      <c r="G101" s="177"/>
      <c r="H101" s="209">
        <f>+H99+H100</f>
        <v>800000</v>
      </c>
      <c r="I101" s="177"/>
      <c r="J101" s="208">
        <f>+J99+J100</f>
        <v>1592416.42</v>
      </c>
      <c r="K101" s="89"/>
      <c r="L101" s="136">
        <f>+L99+L100</f>
        <v>1187785.26</v>
      </c>
    </row>
    <row r="102" spans="1:12" ht="16.5" thickTop="1">
      <c r="A102" s="89"/>
      <c r="B102" s="89"/>
      <c r="C102" s="89"/>
      <c r="D102" s="89"/>
      <c r="E102" s="89"/>
      <c r="F102" s="171"/>
      <c r="G102" s="172"/>
      <c r="H102" s="172"/>
      <c r="I102" s="172"/>
      <c r="J102" s="171"/>
      <c r="K102" s="87"/>
      <c r="L102" s="97"/>
    </row>
    <row r="103" spans="1:12" ht="15.75">
      <c r="A103" s="87"/>
      <c r="B103" s="87" t="s">
        <v>260</v>
      </c>
      <c r="C103" s="91"/>
      <c r="D103" s="91"/>
      <c r="E103" s="91"/>
      <c r="F103" s="171"/>
      <c r="G103" s="172"/>
      <c r="H103" s="172"/>
      <c r="I103" s="172"/>
      <c r="J103" s="171"/>
      <c r="K103" s="87"/>
      <c r="L103" s="97"/>
    </row>
    <row r="104" spans="1:12" ht="15.75">
      <c r="A104" s="87"/>
      <c r="B104" s="87"/>
      <c r="C104" s="87" t="s">
        <v>261</v>
      </c>
      <c r="D104" s="87"/>
      <c r="E104" s="87"/>
      <c r="F104" s="171"/>
      <c r="G104" s="172"/>
      <c r="H104" s="172"/>
      <c r="I104" s="172"/>
      <c r="J104" s="171"/>
      <c r="K104" s="87"/>
      <c r="L104" s="97"/>
    </row>
    <row r="105" spans="1:12" ht="15.75">
      <c r="A105" s="87"/>
      <c r="B105" s="87"/>
      <c r="C105" s="91" t="s">
        <v>262</v>
      </c>
      <c r="D105" s="91"/>
      <c r="E105" s="91"/>
      <c r="F105" s="171"/>
      <c r="G105" s="172"/>
      <c r="H105" s="207">
        <f>+H65</f>
        <v>285000</v>
      </c>
      <c r="I105" s="172"/>
      <c r="J105" s="204">
        <f>+J65</f>
        <v>299000</v>
      </c>
      <c r="K105" s="87"/>
      <c r="L105" s="97">
        <f>+L65</f>
        <v>165000</v>
      </c>
    </row>
    <row r="106" spans="1:12" ht="15.75">
      <c r="A106" s="87"/>
      <c r="B106" s="87"/>
      <c r="C106" s="87" t="s">
        <v>263</v>
      </c>
      <c r="D106" s="87"/>
      <c r="E106" s="87"/>
      <c r="F106" s="173"/>
      <c r="G106" s="174"/>
      <c r="H106" s="206">
        <f>+H18</f>
        <v>764170</v>
      </c>
      <c r="I106" s="174"/>
      <c r="J106" s="205">
        <f>+J18</f>
        <v>765235</v>
      </c>
      <c r="K106" s="175"/>
      <c r="L106" s="102">
        <f>+L18</f>
        <v>980285</v>
      </c>
    </row>
    <row r="107" spans="1:12" ht="16.5" thickBot="1">
      <c r="A107" s="87"/>
      <c r="B107" s="87"/>
      <c r="C107" s="91" t="s">
        <v>264</v>
      </c>
      <c r="D107" s="91"/>
      <c r="E107" s="91"/>
      <c r="F107" s="171"/>
      <c r="G107" s="172"/>
      <c r="H107" s="207">
        <f>SUM(H105:H106)</f>
        <v>1049170</v>
      </c>
      <c r="I107" s="172"/>
      <c r="J107" s="204">
        <f>SUM(J105:J106)</f>
        <v>1064235</v>
      </c>
      <c r="K107" s="87"/>
      <c r="L107" s="178">
        <f>SUM(L105:L106)</f>
        <v>1145285</v>
      </c>
    </row>
    <row r="108" spans="1:12" ht="16.5" thickTop="1">
      <c r="A108" s="87"/>
      <c r="B108" s="87"/>
      <c r="C108" s="87" t="s">
        <v>265</v>
      </c>
      <c r="D108" s="87"/>
      <c r="E108" s="87"/>
      <c r="F108" s="171"/>
      <c r="G108" s="172"/>
      <c r="H108" s="207">
        <f>+H85</f>
        <v>2654456.75</v>
      </c>
      <c r="I108" s="172"/>
      <c r="J108" s="204">
        <f>+J85</f>
        <v>2697421.64</v>
      </c>
      <c r="K108" s="87"/>
      <c r="L108" s="102">
        <f>+L85</f>
        <v>2169240.2200000002</v>
      </c>
    </row>
    <row r="109" spans="1:12" ht="15.75">
      <c r="A109" s="87"/>
      <c r="B109" s="87"/>
      <c r="C109" s="89"/>
      <c r="D109" s="89"/>
      <c r="E109" s="89"/>
      <c r="F109" s="171"/>
      <c r="G109" s="172"/>
      <c r="H109" s="172"/>
      <c r="I109" s="172"/>
      <c r="J109" s="171"/>
      <c r="K109" s="87"/>
      <c r="L109" s="97"/>
    </row>
    <row r="110" spans="1:12" ht="16.5" thickBot="1">
      <c r="A110" s="87"/>
      <c r="B110" s="87"/>
      <c r="C110" s="89" t="s">
        <v>266</v>
      </c>
      <c r="D110" s="89"/>
      <c r="E110" s="89"/>
      <c r="F110" s="176"/>
      <c r="G110" s="177"/>
      <c r="H110" s="209">
        <f>+H107+H108+1</f>
        <v>3703627.75</v>
      </c>
      <c r="I110" s="177"/>
      <c r="J110" s="208">
        <f>+J107+J108</f>
        <v>3761656.64</v>
      </c>
      <c r="K110" s="89"/>
      <c r="L110" s="136">
        <f>L107+L108</f>
        <v>3314525.22</v>
      </c>
    </row>
    <row r="111" spans="1:12" ht="15.75" thickTop="1">
      <c r="J111"/>
    </row>
    <row r="112" spans="1:12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</sheetData>
  <sheetProtection algorithmName="SHA-512" hashValue="XJy6W9k0wBhjXJ0beDwRqNntcW7KkJXvYU0HL0wJFgdmyvOKhQkzuQoha6fMmpuII6dfJAz7VBE6gC4GzhppIQ==" saltValue="aAjaXO/cQeh3buWuqdeQpg==" spinCount="100000" sheet="1" selectLockedCells="1" selectUnlockedCells="1"/>
  <mergeCells count="3">
    <mergeCell ref="A1:L1"/>
    <mergeCell ref="A3:L3"/>
    <mergeCell ref="M5:N5"/>
  </mergeCells>
  <pageMargins left="0.5" right="0.25" top="0.75" bottom="0.75" header="0.3" footer="0.3"/>
  <pageSetup scale="73" fitToHeight="0" orientation="portrait" r:id="rId1"/>
  <rowBreaks count="1" manualBreakCount="1">
    <brk id="5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E812-A7DD-41E5-8108-9353EE441E41}">
  <sheetPr>
    <pageSetUpPr fitToPage="1"/>
  </sheetPr>
  <dimension ref="A1:O333"/>
  <sheetViews>
    <sheetView topLeftCell="M59" zoomScale="97" zoomScaleNormal="97" workbookViewId="0">
      <selection activeCell="A59" sqref="A59"/>
    </sheetView>
  </sheetViews>
  <sheetFormatPr defaultRowHeight="15"/>
  <cols>
    <col min="1" max="2" width="0" hidden="1" customWidth="1"/>
    <col min="3" max="3" width="33.140625" hidden="1" customWidth="1"/>
    <col min="4" max="4" width="11.140625" hidden="1" customWidth="1"/>
    <col min="5" max="5" width="3.7109375" hidden="1" customWidth="1"/>
    <col min="6" max="6" width="14.28515625" hidden="1" customWidth="1"/>
    <col min="7" max="7" width="5.140625" hidden="1" customWidth="1"/>
    <col min="8" max="8" width="13" hidden="1" customWidth="1"/>
    <col min="9" max="9" width="4.28515625" hidden="1" customWidth="1"/>
    <col min="10" max="10" width="13.42578125" style="57" hidden="1" customWidth="1"/>
    <col min="11" max="11" width="5.140625" hidden="1" customWidth="1"/>
    <col min="12" max="12" width="17.42578125" hidden="1" customWidth="1"/>
    <col min="13" max="13" width="8.7109375" customWidth="1"/>
    <col min="14" max="14" width="10.28515625" customWidth="1"/>
  </cols>
  <sheetData>
    <row r="1" spans="1:14" ht="18.75">
      <c r="A1" s="210" t="s">
        <v>187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4" ht="15.75">
      <c r="A2" s="71"/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ht="19.5" thickBot="1">
      <c r="A3" s="210" t="s">
        <v>268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</row>
    <row r="4" spans="1:14" ht="15.75">
      <c r="A4" s="73"/>
      <c r="B4" s="73"/>
      <c r="C4" s="73"/>
      <c r="D4" s="73"/>
      <c r="E4" s="73"/>
      <c r="F4" s="73"/>
      <c r="G4" s="73"/>
      <c r="H4" s="74"/>
      <c r="I4" s="75"/>
      <c r="J4" s="74"/>
      <c r="K4" s="75"/>
      <c r="L4" s="76">
        <v>45580</v>
      </c>
    </row>
    <row r="5" spans="1:14" ht="15.75">
      <c r="A5" s="77" t="s">
        <v>188</v>
      </c>
      <c r="B5" s="78"/>
      <c r="C5" s="78"/>
      <c r="D5" s="78"/>
      <c r="E5" s="78"/>
      <c r="F5" s="78"/>
      <c r="G5" s="78"/>
      <c r="H5" s="79" t="s">
        <v>189</v>
      </c>
      <c r="I5" s="79"/>
      <c r="J5" s="79" t="s">
        <v>190</v>
      </c>
      <c r="K5" s="79"/>
      <c r="L5" s="80" t="s">
        <v>191</v>
      </c>
      <c r="M5" s="211" t="s">
        <v>2</v>
      </c>
      <c r="N5" s="212"/>
    </row>
    <row r="6" spans="1:14" ht="15.75">
      <c r="A6" s="81"/>
      <c r="B6" s="72"/>
      <c r="C6" s="72"/>
      <c r="D6" s="72"/>
      <c r="E6" s="72"/>
      <c r="F6" s="73" t="s">
        <v>192</v>
      </c>
      <c r="G6" s="72"/>
      <c r="H6" s="73" t="s">
        <v>193</v>
      </c>
      <c r="I6" s="73"/>
      <c r="J6" s="73" t="s">
        <v>192</v>
      </c>
      <c r="K6" s="73"/>
      <c r="L6" s="82" t="s">
        <v>194</v>
      </c>
    </row>
    <row r="7" spans="1:14" ht="15.75">
      <c r="A7" s="83"/>
      <c r="B7" s="84"/>
      <c r="C7" s="84"/>
      <c r="D7" s="84"/>
      <c r="E7" s="84"/>
      <c r="F7" s="85">
        <v>2023</v>
      </c>
      <c r="G7" s="84"/>
      <c r="H7" s="85">
        <v>2024</v>
      </c>
      <c r="I7" s="85"/>
      <c r="J7" s="85">
        <v>2024</v>
      </c>
      <c r="K7" s="85"/>
      <c r="L7" s="86">
        <v>2025</v>
      </c>
    </row>
    <row r="8" spans="1:14" ht="15.75">
      <c r="A8" s="87"/>
      <c r="B8" s="87"/>
      <c r="C8" s="87"/>
      <c r="D8" s="87"/>
      <c r="E8" s="87"/>
      <c r="F8" s="73"/>
      <c r="G8" s="72"/>
      <c r="H8" s="73"/>
      <c r="I8" s="73"/>
      <c r="J8" s="73"/>
      <c r="K8" s="73"/>
      <c r="L8" s="88"/>
    </row>
    <row r="9" spans="1:14" ht="15.75">
      <c r="A9" s="89" t="s">
        <v>195</v>
      </c>
      <c r="B9" s="87"/>
      <c r="C9" s="87"/>
      <c r="D9" s="87"/>
      <c r="E9" s="87"/>
      <c r="F9" s="72"/>
      <c r="G9" s="72"/>
      <c r="H9" s="72"/>
      <c r="I9" s="72"/>
      <c r="J9" s="72"/>
      <c r="K9" s="72"/>
      <c r="L9" s="90"/>
    </row>
    <row r="10" spans="1:14" ht="15.75">
      <c r="A10" s="87"/>
      <c r="B10" s="87" t="s">
        <v>196</v>
      </c>
      <c r="C10" s="91"/>
      <c r="D10" s="91"/>
      <c r="E10" s="91"/>
      <c r="F10" s="92"/>
      <c r="G10" s="92"/>
      <c r="H10" s="93"/>
      <c r="I10" s="94"/>
      <c r="J10" s="93"/>
      <c r="K10" s="94"/>
      <c r="L10" s="95"/>
    </row>
    <row r="11" spans="1:14" ht="15.75">
      <c r="A11" s="87"/>
      <c r="B11" s="87"/>
      <c r="C11" s="91" t="s">
        <v>197</v>
      </c>
      <c r="D11" s="91"/>
      <c r="E11" s="96">
        <v>2</v>
      </c>
      <c r="F11" s="97">
        <f>552199+78904</f>
        <v>631103</v>
      </c>
      <c r="G11" s="97"/>
      <c r="H11" s="98">
        <v>629944</v>
      </c>
      <c r="I11" s="99"/>
      <c r="J11" s="98">
        <f>549591+80826</f>
        <v>630417</v>
      </c>
      <c r="K11" s="99"/>
      <c r="L11" s="100">
        <v>825000</v>
      </c>
      <c r="M11" s="101">
        <f>L11/J11-1</f>
        <v>0.30865760282479693</v>
      </c>
      <c r="N11" t="s">
        <v>198</v>
      </c>
    </row>
    <row r="12" spans="1:14" ht="15.75">
      <c r="A12" s="87"/>
      <c r="B12" s="87"/>
      <c r="C12" s="91" t="s">
        <v>199</v>
      </c>
      <c r="D12" s="91"/>
      <c r="E12" s="96">
        <v>3</v>
      </c>
      <c r="F12" s="102">
        <f>40161.98+54408.03</f>
        <v>94570.010000000009</v>
      </c>
      <c r="G12" s="102"/>
      <c r="H12" s="103">
        <v>95726</v>
      </c>
      <c r="I12" s="104"/>
      <c r="J12" s="103">
        <f>40189+58178</f>
        <v>98367</v>
      </c>
      <c r="K12" s="104"/>
      <c r="L12" s="105">
        <v>139000</v>
      </c>
      <c r="M12" s="101">
        <f>L11/L13</f>
        <v>0.85580912863070535</v>
      </c>
      <c r="N12" t="s">
        <v>198</v>
      </c>
    </row>
    <row r="13" spans="1:14" ht="15.75">
      <c r="A13" s="87"/>
      <c r="B13" s="87" t="s">
        <v>200</v>
      </c>
      <c r="C13" s="91"/>
      <c r="D13" s="91"/>
      <c r="E13" s="91"/>
      <c r="F13" s="106">
        <f>+F12+F11</f>
        <v>725673.01</v>
      </c>
      <c r="G13" s="97"/>
      <c r="H13" s="106">
        <v>725670</v>
      </c>
      <c r="I13" s="107"/>
      <c r="J13" s="106">
        <f>+J12+J11+1</f>
        <v>728785</v>
      </c>
      <c r="K13" s="107"/>
      <c r="L13" s="108">
        <f>SUM(L11:L12)</f>
        <v>964000</v>
      </c>
      <c r="M13" s="101"/>
    </row>
    <row r="14" spans="1:14" ht="15.75">
      <c r="A14" s="87"/>
      <c r="B14" s="87" t="s">
        <v>201</v>
      </c>
      <c r="C14" s="91"/>
      <c r="D14" s="91"/>
      <c r="E14" s="96">
        <v>4</v>
      </c>
      <c r="F14" s="109">
        <v>7200</v>
      </c>
      <c r="G14" s="97"/>
      <c r="H14" s="109">
        <v>9000</v>
      </c>
      <c r="I14" s="107"/>
      <c r="J14" s="109">
        <v>5850</v>
      </c>
      <c r="K14" s="107"/>
      <c r="L14" s="110">
        <f>1800*3</f>
        <v>5400</v>
      </c>
      <c r="M14" t="s">
        <v>267</v>
      </c>
    </row>
    <row r="15" spans="1:14" ht="15.75">
      <c r="A15" s="87"/>
      <c r="B15" s="87" t="s">
        <v>202</v>
      </c>
      <c r="C15" s="91"/>
      <c r="D15" s="91"/>
      <c r="E15" s="96">
        <v>5</v>
      </c>
      <c r="F15" s="111">
        <v>1127</v>
      </c>
      <c r="G15" s="102"/>
      <c r="H15" s="111">
        <v>1500</v>
      </c>
      <c r="I15" s="104"/>
      <c r="J15" s="111">
        <v>600</v>
      </c>
      <c r="K15" s="104"/>
      <c r="L15" s="112">
        <v>550</v>
      </c>
    </row>
    <row r="16" spans="1:14" ht="15.75">
      <c r="A16" s="87"/>
      <c r="B16" s="87" t="s">
        <v>203</v>
      </c>
      <c r="C16" s="91"/>
      <c r="D16" s="91"/>
      <c r="E16" s="96">
        <v>6</v>
      </c>
      <c r="F16" s="102">
        <f>17740+5352</f>
        <v>23092</v>
      </c>
      <c r="G16" s="102"/>
      <c r="H16" s="102">
        <v>20000</v>
      </c>
      <c r="I16" s="113"/>
      <c r="J16" s="102">
        <v>20000</v>
      </c>
      <c r="K16" s="113"/>
      <c r="L16" s="114">
        <v>20000</v>
      </c>
    </row>
    <row r="17" spans="1:15" ht="15.75">
      <c r="A17" s="87"/>
      <c r="B17" s="87" t="s">
        <v>204</v>
      </c>
      <c r="C17" s="91"/>
      <c r="D17" s="91"/>
      <c r="E17" s="96">
        <v>7</v>
      </c>
      <c r="F17" s="115">
        <v>8150</v>
      </c>
      <c r="G17" s="102"/>
      <c r="H17" s="115">
        <v>8000</v>
      </c>
      <c r="I17" s="104"/>
      <c r="J17" s="115">
        <v>10000</v>
      </c>
      <c r="K17" s="104"/>
      <c r="L17" s="114">
        <v>8000</v>
      </c>
      <c r="O17" s="116">
        <f>SUM(L14:L17)</f>
        <v>33950</v>
      </c>
    </row>
    <row r="18" spans="1:15" ht="16.5" thickBot="1">
      <c r="A18" s="89" t="s">
        <v>205</v>
      </c>
      <c r="B18" s="117"/>
      <c r="C18" s="89"/>
      <c r="D18" s="89"/>
      <c r="E18" s="89"/>
      <c r="F18" s="118">
        <f>SUM(F13:F17)</f>
        <v>765242.01</v>
      </c>
      <c r="G18" s="119"/>
      <c r="H18" s="118">
        <v>764170</v>
      </c>
      <c r="I18" s="119"/>
      <c r="J18" s="118">
        <f>SUM(J13:J17)</f>
        <v>765235</v>
      </c>
      <c r="K18" s="119"/>
      <c r="L18" s="120">
        <f>SUM(L13:L17)</f>
        <v>997950</v>
      </c>
    </row>
    <row r="19" spans="1:15" ht="16.5" thickTop="1">
      <c r="A19" s="87"/>
      <c r="B19" s="87"/>
      <c r="C19" s="87"/>
      <c r="D19" s="87"/>
      <c r="E19" s="87"/>
      <c r="F19" s="72"/>
      <c r="G19" s="72"/>
      <c r="H19" s="72"/>
      <c r="I19" s="72"/>
      <c r="J19" s="72"/>
      <c r="K19" s="72"/>
      <c r="L19" s="90"/>
    </row>
    <row r="20" spans="1:15" ht="15.75">
      <c r="A20" s="89" t="s">
        <v>206</v>
      </c>
      <c r="B20" s="87"/>
      <c r="C20" s="87"/>
      <c r="D20" s="87"/>
      <c r="E20" s="87"/>
      <c r="F20" s="72"/>
      <c r="G20" s="72"/>
      <c r="H20" s="72"/>
      <c r="I20" s="72"/>
      <c r="J20" s="72"/>
      <c r="K20" s="72"/>
      <c r="L20" s="90"/>
    </row>
    <row r="21" spans="1:15" ht="15.75">
      <c r="A21" s="87"/>
      <c r="B21" s="87"/>
      <c r="C21" s="87"/>
      <c r="D21" s="87"/>
      <c r="E21" s="87"/>
      <c r="F21" s="72"/>
      <c r="G21" s="72"/>
      <c r="H21" s="72"/>
      <c r="I21" s="72"/>
      <c r="J21" s="72"/>
      <c r="K21" s="72"/>
      <c r="L21" s="90"/>
    </row>
    <row r="22" spans="1:15" ht="15.75">
      <c r="A22" s="89" t="s">
        <v>207</v>
      </c>
      <c r="B22" s="87"/>
      <c r="C22" s="87"/>
      <c r="D22" s="87"/>
      <c r="E22" s="87"/>
      <c r="F22" s="72"/>
      <c r="G22" s="72"/>
      <c r="H22" s="72"/>
      <c r="I22" s="72"/>
      <c r="J22" s="72"/>
      <c r="K22" s="72"/>
      <c r="L22" s="90"/>
    </row>
    <row r="23" spans="1:15" ht="15.75">
      <c r="A23" s="87"/>
      <c r="B23" s="87" t="s">
        <v>208</v>
      </c>
      <c r="C23" s="87"/>
      <c r="D23" s="87"/>
      <c r="E23" s="96">
        <v>8</v>
      </c>
      <c r="F23" s="102">
        <f>51330+4400+47989</f>
        <v>103719</v>
      </c>
      <c r="G23" s="102"/>
      <c r="H23" s="102">
        <v>37760</v>
      </c>
      <c r="I23" s="102"/>
      <c r="J23" s="102">
        <f>48016+3080+3000+4</f>
        <v>54100</v>
      </c>
      <c r="K23" s="102"/>
      <c r="L23" s="114">
        <f>'3'!K16+'3'!K25-'3'!K23+'3'!K37-'3'!F37+1</f>
        <v>157627.76</v>
      </c>
      <c r="M23" s="3" t="s">
        <v>209</v>
      </c>
    </row>
    <row r="24" spans="1:15" ht="15.75">
      <c r="A24" s="87"/>
      <c r="B24" s="87" t="s">
        <v>210</v>
      </c>
      <c r="C24" s="87"/>
      <c r="D24" s="87"/>
      <c r="E24" s="96">
        <v>9</v>
      </c>
      <c r="F24" s="102">
        <f>3883+4565</f>
        <v>8448</v>
      </c>
      <c r="G24" s="102"/>
      <c r="H24" s="102">
        <v>1790</v>
      </c>
      <c r="I24" s="102"/>
      <c r="J24" s="102">
        <v>23000</v>
      </c>
      <c r="K24" s="102"/>
      <c r="L24" s="114">
        <f>'3'!K23+'3'!F37-2</f>
        <v>16550</v>
      </c>
      <c r="M24" s="3" t="s">
        <v>209</v>
      </c>
    </row>
    <row r="25" spans="1:15" ht="15.75">
      <c r="A25" s="87"/>
      <c r="B25" s="87" t="s">
        <v>211</v>
      </c>
      <c r="C25" s="87"/>
      <c r="D25" s="87"/>
      <c r="E25" s="96">
        <v>10</v>
      </c>
      <c r="F25" s="102">
        <v>43178</v>
      </c>
      <c r="G25" s="102"/>
      <c r="H25" s="102">
        <v>49260</v>
      </c>
      <c r="I25" s="102"/>
      <c r="J25" s="102">
        <v>56000</v>
      </c>
      <c r="K25" s="102"/>
      <c r="L25" s="114">
        <f>'3'!K14</f>
        <v>49260</v>
      </c>
      <c r="M25" s="3" t="s">
        <v>209</v>
      </c>
    </row>
    <row r="26" spans="1:15" ht="15.75">
      <c r="A26" s="87"/>
      <c r="B26" s="87" t="s">
        <v>212</v>
      </c>
      <c r="C26" s="87"/>
      <c r="D26" s="87"/>
      <c r="E26" s="96">
        <v>12</v>
      </c>
      <c r="F26" s="115">
        <f>5596+1101+4234</f>
        <v>10931</v>
      </c>
      <c r="G26" s="102"/>
      <c r="H26" s="115">
        <v>7070</v>
      </c>
      <c r="I26" s="102"/>
      <c r="J26" s="115">
        <v>12000</v>
      </c>
      <c r="K26" s="102"/>
      <c r="L26" s="129">
        <f>'3'!K15+1002</f>
        <v>4849.5</v>
      </c>
      <c r="M26" s="3" t="s">
        <v>209</v>
      </c>
    </row>
    <row r="27" spans="1:15" ht="15.75">
      <c r="A27" s="87"/>
      <c r="B27" s="87"/>
      <c r="C27" s="121" t="s">
        <v>9</v>
      </c>
      <c r="D27" s="121"/>
      <c r="E27" s="121"/>
      <c r="F27" s="97">
        <f>SUM(F23:F26)</f>
        <v>166276</v>
      </c>
      <c r="G27" s="102"/>
      <c r="H27" s="122">
        <v>95880</v>
      </c>
      <c r="I27" s="102"/>
      <c r="J27" s="97">
        <f>SUM(J23:J26)</f>
        <v>145100</v>
      </c>
      <c r="K27" s="102"/>
      <c r="L27" s="123">
        <f>SUM(L23:L26)</f>
        <v>228287.26</v>
      </c>
    </row>
    <row r="28" spans="1:15" ht="15.75">
      <c r="A28" s="87"/>
      <c r="B28" s="87"/>
      <c r="C28" s="121"/>
      <c r="D28" s="121"/>
      <c r="E28" s="121"/>
      <c r="F28" s="102"/>
      <c r="G28" s="102"/>
      <c r="H28" s="102"/>
      <c r="I28" s="102"/>
      <c r="J28" s="102"/>
      <c r="K28" s="102"/>
      <c r="L28" s="114"/>
    </row>
    <row r="29" spans="1:15" ht="15.75">
      <c r="A29" s="87"/>
      <c r="B29" s="87" t="s">
        <v>213</v>
      </c>
      <c r="C29" s="87"/>
      <c r="D29" s="87"/>
      <c r="E29" s="96">
        <v>13</v>
      </c>
      <c r="F29" s="97">
        <v>475078</v>
      </c>
      <c r="G29" s="97"/>
      <c r="H29" s="97">
        <v>469615</v>
      </c>
      <c r="I29" s="97"/>
      <c r="J29" s="97">
        <v>498946</v>
      </c>
      <c r="K29" s="97"/>
      <c r="L29" s="123">
        <v>533300</v>
      </c>
      <c r="M29" s="101">
        <f>L29/J29-1</f>
        <v>6.885314242423024E-2</v>
      </c>
      <c r="N29" t="s">
        <v>198</v>
      </c>
    </row>
    <row r="30" spans="1:15" ht="15.75">
      <c r="A30" s="87"/>
      <c r="B30" s="87"/>
      <c r="C30" s="87"/>
      <c r="D30" s="87"/>
      <c r="E30" s="87"/>
      <c r="F30" s="97"/>
      <c r="G30" s="97"/>
      <c r="H30" s="97"/>
      <c r="I30" s="97"/>
      <c r="J30" s="97"/>
      <c r="K30" s="97"/>
      <c r="L30" s="124"/>
    </row>
    <row r="31" spans="1:15" ht="15.75">
      <c r="A31" s="89" t="s">
        <v>214</v>
      </c>
      <c r="B31" s="89"/>
      <c r="C31" s="89"/>
      <c r="D31" s="89"/>
      <c r="E31" s="89"/>
      <c r="F31" s="125">
        <f>F27+F29</f>
        <v>641354</v>
      </c>
      <c r="G31" s="119"/>
      <c r="H31" s="125">
        <v>565495</v>
      </c>
      <c r="I31" s="119"/>
      <c r="J31" s="125">
        <f>J27+J29</f>
        <v>644046</v>
      </c>
      <c r="K31" s="119"/>
      <c r="L31" s="126">
        <f>L27+L29</f>
        <v>761587.26</v>
      </c>
    </row>
    <row r="32" spans="1:15" ht="15.75">
      <c r="A32" s="87"/>
      <c r="C32" s="87"/>
      <c r="D32" s="87"/>
      <c r="E32" s="87"/>
      <c r="F32" s="102"/>
      <c r="G32" s="102"/>
      <c r="H32" s="102"/>
      <c r="I32" s="102"/>
      <c r="J32" s="102"/>
      <c r="K32" s="102"/>
      <c r="L32" s="127"/>
    </row>
    <row r="33" spans="1:14" ht="15.75">
      <c r="A33" s="87"/>
      <c r="B33" s="128" t="s">
        <v>215</v>
      </c>
      <c r="C33" s="87"/>
      <c r="D33" s="87"/>
      <c r="E33" s="87"/>
      <c r="F33" s="102"/>
      <c r="G33" s="102"/>
      <c r="H33" s="102"/>
      <c r="I33" s="102"/>
      <c r="J33" s="102"/>
      <c r="K33" s="102"/>
      <c r="L33" s="129"/>
    </row>
    <row r="34" spans="1:14" ht="15.75">
      <c r="A34" s="89" t="s">
        <v>216</v>
      </c>
      <c r="B34" s="87"/>
      <c r="C34" s="87"/>
      <c r="D34" s="87"/>
      <c r="E34" s="87"/>
      <c r="F34" s="102"/>
      <c r="G34" s="102"/>
      <c r="H34" s="102"/>
      <c r="I34" s="102"/>
      <c r="J34" s="102"/>
      <c r="K34" s="102"/>
      <c r="L34" s="114"/>
    </row>
    <row r="35" spans="1:14" ht="15.75">
      <c r="A35" s="87"/>
      <c r="B35" s="87" t="s">
        <v>217</v>
      </c>
      <c r="C35" s="91"/>
      <c r="D35" s="91"/>
      <c r="E35" s="96">
        <v>14</v>
      </c>
      <c r="F35" s="97">
        <v>34949</v>
      </c>
      <c r="G35" s="97"/>
      <c r="H35" s="97">
        <v>36000</v>
      </c>
      <c r="I35" s="97"/>
      <c r="J35" s="97">
        <v>36000</v>
      </c>
      <c r="K35" s="97"/>
      <c r="L35" s="124">
        <f>J35*1.05+100</f>
        <v>37900</v>
      </c>
      <c r="M35" s="130">
        <v>0.05</v>
      </c>
      <c r="N35" t="s">
        <v>198</v>
      </c>
    </row>
    <row r="36" spans="1:14" ht="15.75">
      <c r="A36" s="87"/>
      <c r="B36" s="87" t="s">
        <v>218</v>
      </c>
      <c r="C36" s="91"/>
      <c r="D36" s="91"/>
      <c r="E36" s="96">
        <v>15</v>
      </c>
      <c r="F36" s="102">
        <v>15642</v>
      </c>
      <c r="G36" s="102"/>
      <c r="H36" s="111">
        <v>16074.940000000002</v>
      </c>
      <c r="I36" s="104"/>
      <c r="J36" s="111">
        <v>15200</v>
      </c>
      <c r="K36" s="104"/>
      <c r="L36" s="112">
        <v>16000</v>
      </c>
      <c r="M36" s="130"/>
    </row>
    <row r="37" spans="1:14" ht="15.75">
      <c r="A37" s="87"/>
      <c r="B37" s="87" t="s">
        <v>219</v>
      </c>
      <c r="C37" s="91"/>
      <c r="D37" s="91"/>
      <c r="E37" s="96">
        <v>16</v>
      </c>
      <c r="F37" s="102">
        <v>3660</v>
      </c>
      <c r="G37" s="102"/>
      <c r="H37" s="111">
        <v>5000</v>
      </c>
      <c r="I37" s="113"/>
      <c r="J37" s="111">
        <v>4200</v>
      </c>
      <c r="K37" s="113"/>
      <c r="L37" s="112">
        <v>5000</v>
      </c>
    </row>
    <row r="38" spans="1:14" ht="15.75">
      <c r="A38" s="87"/>
      <c r="B38" s="87" t="s">
        <v>220</v>
      </c>
      <c r="C38" s="91"/>
      <c r="D38" s="91"/>
      <c r="E38" s="96">
        <v>17</v>
      </c>
      <c r="F38" s="102">
        <v>360</v>
      </c>
      <c r="G38" s="102"/>
      <c r="H38" s="131">
        <v>0</v>
      </c>
      <c r="I38" s="132"/>
      <c r="J38" s="131">
        <v>0</v>
      </c>
      <c r="K38" s="132"/>
      <c r="L38" s="133">
        <v>500</v>
      </c>
    </row>
    <row r="39" spans="1:14" ht="15.75">
      <c r="A39" s="87"/>
      <c r="B39" s="87" t="s">
        <v>221</v>
      </c>
      <c r="C39" s="91"/>
      <c r="D39" s="91"/>
      <c r="F39" s="102"/>
      <c r="G39" s="102"/>
      <c r="H39" s="111"/>
      <c r="I39" s="111"/>
      <c r="J39" s="111"/>
      <c r="K39" s="111"/>
      <c r="L39" s="112"/>
    </row>
    <row r="40" spans="1:14" ht="15.75">
      <c r="A40" s="87"/>
      <c r="B40" s="87"/>
      <c r="C40" s="87" t="s">
        <v>222</v>
      </c>
      <c r="D40" s="87"/>
      <c r="E40" s="96">
        <v>18</v>
      </c>
      <c r="F40" s="131">
        <v>5700</v>
      </c>
      <c r="G40" s="102"/>
      <c r="H40" s="131">
        <v>5800</v>
      </c>
      <c r="I40" s="132"/>
      <c r="J40" s="131">
        <v>5700</v>
      </c>
      <c r="K40" s="132"/>
      <c r="L40" s="133">
        <v>5800</v>
      </c>
    </row>
    <row r="41" spans="1:14" ht="15.75">
      <c r="A41" s="87"/>
      <c r="B41" s="87"/>
      <c r="C41" s="87" t="s">
        <v>223</v>
      </c>
      <c r="D41" s="87"/>
      <c r="E41" s="96">
        <v>19</v>
      </c>
      <c r="F41" s="102">
        <f>12836+6000</f>
        <v>18836</v>
      </c>
      <c r="G41" s="102"/>
      <c r="H41" s="131">
        <v>29900</v>
      </c>
      <c r="I41" s="132"/>
      <c r="J41" s="131">
        <v>22000</v>
      </c>
      <c r="K41" s="132"/>
      <c r="L41" s="133">
        <f>'3'!K10</f>
        <v>37400</v>
      </c>
      <c r="M41" s="3" t="s">
        <v>209</v>
      </c>
    </row>
    <row r="42" spans="1:14" ht="15.75">
      <c r="A42" s="134"/>
      <c r="B42" s="134"/>
      <c r="C42" s="87" t="s">
        <v>224</v>
      </c>
      <c r="D42" s="87"/>
      <c r="E42" s="96">
        <v>21</v>
      </c>
      <c r="F42" s="102">
        <v>3589</v>
      </c>
      <c r="G42" s="102"/>
      <c r="H42" s="131">
        <v>3400</v>
      </c>
      <c r="I42" s="132"/>
      <c r="J42" s="131">
        <v>1000</v>
      </c>
      <c r="K42" s="132"/>
      <c r="L42" s="133">
        <v>1100</v>
      </c>
      <c r="M42" s="130"/>
    </row>
    <row r="43" spans="1:14" ht="15.75">
      <c r="A43" s="134"/>
      <c r="B43" s="134"/>
      <c r="C43" s="87" t="s">
        <v>225</v>
      </c>
      <c r="D43" s="87"/>
      <c r="E43" s="96">
        <v>22</v>
      </c>
      <c r="F43" s="102">
        <f>66460+22160</f>
        <v>88620</v>
      </c>
      <c r="G43" s="102"/>
      <c r="H43" s="131">
        <v>102500</v>
      </c>
      <c r="I43" s="132"/>
      <c r="J43" s="131">
        <v>100000</v>
      </c>
      <c r="K43" s="132"/>
      <c r="L43" s="133">
        <f>J43*1.05</f>
        <v>105000</v>
      </c>
      <c r="M43" s="130">
        <v>0.05</v>
      </c>
      <c r="N43" t="s">
        <v>198</v>
      </c>
    </row>
    <row r="44" spans="1:14" ht="15.75">
      <c r="A44" s="134"/>
      <c r="B44" s="134"/>
      <c r="C44" s="128"/>
      <c r="D44" s="128"/>
      <c r="E44" s="128"/>
      <c r="F44" s="115"/>
      <c r="G44" s="102"/>
      <c r="H44" s="115"/>
      <c r="I44" s="102"/>
      <c r="J44" s="115"/>
      <c r="K44" s="102"/>
      <c r="L44" s="129"/>
    </row>
    <row r="45" spans="1:14" ht="15.75">
      <c r="A45" s="89" t="s">
        <v>226</v>
      </c>
      <c r="B45" s="89"/>
      <c r="C45" s="117"/>
      <c r="D45" s="117"/>
      <c r="E45" s="117"/>
      <c r="F45" s="125">
        <f>SUM(F35:F44)</f>
        <v>171356</v>
      </c>
      <c r="G45" s="119"/>
      <c r="H45" s="125">
        <v>198674.94</v>
      </c>
      <c r="I45" s="119"/>
      <c r="J45" s="125">
        <f>SUM(J35:J44)</f>
        <v>184100</v>
      </c>
      <c r="K45" s="119"/>
      <c r="L45" s="126">
        <f>SUM(L35:L44)</f>
        <v>208700</v>
      </c>
      <c r="M45" t="s">
        <v>188</v>
      </c>
    </row>
    <row r="46" spans="1:14" ht="15.75">
      <c r="A46" s="87"/>
      <c r="B46" s="87"/>
      <c r="C46" s="87"/>
      <c r="D46" s="87"/>
      <c r="E46" s="87"/>
      <c r="F46" s="102"/>
      <c r="G46" s="102"/>
      <c r="H46" s="111"/>
      <c r="I46" s="111"/>
      <c r="J46" s="111"/>
      <c r="K46" s="111"/>
      <c r="L46" s="112"/>
    </row>
    <row r="47" spans="1:14" ht="16.5" thickBot="1">
      <c r="A47" s="89" t="s">
        <v>227</v>
      </c>
      <c r="B47" s="135"/>
      <c r="C47" s="89"/>
      <c r="D47" s="89"/>
      <c r="E47" s="89"/>
      <c r="F47" s="136">
        <f>+F45+F31</f>
        <v>812710</v>
      </c>
      <c r="G47" s="119"/>
      <c r="H47" s="136">
        <v>764169.94</v>
      </c>
      <c r="I47" s="119"/>
      <c r="J47" s="136">
        <f>+J45+J31</f>
        <v>828146</v>
      </c>
      <c r="K47" s="119"/>
      <c r="L47" s="120">
        <f>+L45+L31</f>
        <v>970287.26</v>
      </c>
    </row>
    <row r="48" spans="1:14" ht="16.5" thickTop="1">
      <c r="A48" s="87"/>
      <c r="B48" s="91"/>
      <c r="C48" s="87"/>
      <c r="D48" s="87"/>
      <c r="E48" s="87"/>
      <c r="F48" s="97"/>
      <c r="G48" s="97"/>
      <c r="H48" s="97"/>
      <c r="I48" s="97"/>
      <c r="J48" s="97"/>
      <c r="K48" s="97"/>
      <c r="L48" s="124"/>
    </row>
    <row r="49" spans="1:13" ht="15.75">
      <c r="A49" s="87"/>
      <c r="B49" s="117" t="s">
        <v>228</v>
      </c>
      <c r="C49" s="89"/>
      <c r="D49" s="89"/>
      <c r="E49" s="89"/>
      <c r="F49" s="137">
        <f>+F18-F47</f>
        <v>-47467.989999999991</v>
      </c>
      <c r="G49" s="119"/>
      <c r="H49" s="119">
        <v>0.11000000005587936</v>
      </c>
      <c r="I49" s="119"/>
      <c r="J49" s="137">
        <f>+J18-J47</f>
        <v>-62911</v>
      </c>
      <c r="K49" s="119"/>
      <c r="L49" s="138">
        <f>+L18-L47+0.05</f>
        <v>27662.78999999999</v>
      </c>
    </row>
    <row r="50" spans="1:13" ht="15.75">
      <c r="A50" s="87"/>
      <c r="B50" s="91"/>
      <c r="C50" s="87"/>
      <c r="D50" s="87"/>
      <c r="E50" s="87"/>
      <c r="F50" s="97"/>
      <c r="G50" s="97"/>
      <c r="H50" s="97"/>
      <c r="I50" s="97"/>
      <c r="J50" s="97"/>
      <c r="K50" s="97"/>
      <c r="L50" s="124"/>
    </row>
    <row r="51" spans="1:13" ht="15.75">
      <c r="A51" s="87"/>
      <c r="B51" s="91" t="s">
        <v>229</v>
      </c>
      <c r="C51" s="87"/>
      <c r="D51" s="87"/>
      <c r="E51" s="87"/>
      <c r="F51" s="97">
        <v>0</v>
      </c>
      <c r="G51" s="97"/>
      <c r="H51" s="102">
        <v>100000</v>
      </c>
      <c r="I51" s="97"/>
      <c r="J51" s="97">
        <v>0</v>
      </c>
      <c r="K51" s="139"/>
      <c r="L51" s="114">
        <v>100000</v>
      </c>
    </row>
    <row r="52" spans="1:13" ht="15.75">
      <c r="A52" s="87"/>
      <c r="B52" s="91"/>
      <c r="C52" s="87"/>
      <c r="D52" s="87"/>
      <c r="E52" s="87"/>
      <c r="F52" s="97"/>
      <c r="G52" s="97"/>
      <c r="H52" s="102"/>
      <c r="I52" s="97"/>
      <c r="J52" s="97"/>
      <c r="K52" s="97"/>
      <c r="L52" s="114"/>
    </row>
    <row r="53" spans="1:13" ht="16.5" thickBot="1">
      <c r="A53" s="89" t="s">
        <v>230</v>
      </c>
      <c r="B53" s="87"/>
      <c r="C53" s="87"/>
      <c r="D53" s="87"/>
      <c r="E53" s="87"/>
      <c r="F53" s="136">
        <f>F47+F51</f>
        <v>812710</v>
      </c>
      <c r="G53" s="119"/>
      <c r="H53" s="120">
        <v>864169.94</v>
      </c>
      <c r="I53" s="119"/>
      <c r="J53" s="136">
        <f>J47+J51</f>
        <v>828146</v>
      </c>
      <c r="K53" s="119"/>
      <c r="L53" s="120">
        <f>L47+L51</f>
        <v>1070287.26</v>
      </c>
    </row>
    <row r="54" spans="1:13" ht="16.5" thickTop="1">
      <c r="A54" s="89"/>
      <c r="B54" s="87"/>
      <c r="C54" s="87"/>
      <c r="D54" s="87"/>
      <c r="E54" s="87"/>
      <c r="F54" s="102"/>
      <c r="G54" s="102"/>
      <c r="H54" s="111"/>
      <c r="I54" s="111"/>
      <c r="J54" s="111"/>
      <c r="K54" s="111"/>
      <c r="L54" s="112"/>
    </row>
    <row r="55" spans="1:13" ht="16.5" thickBot="1">
      <c r="A55" s="89"/>
      <c r="B55" s="89"/>
      <c r="C55" s="89" t="s">
        <v>231</v>
      </c>
      <c r="D55" s="89"/>
      <c r="E55" s="89"/>
      <c r="F55" s="140">
        <f>F49-F51</f>
        <v>-47467.989999999991</v>
      </c>
      <c r="G55" s="119"/>
      <c r="H55" s="140">
        <v>-99999.889999999941</v>
      </c>
      <c r="I55" s="119"/>
      <c r="J55" s="140">
        <f>J49-J51</f>
        <v>-62911</v>
      </c>
      <c r="K55" s="119"/>
      <c r="L55" s="141">
        <f>L49-L51-L52</f>
        <v>-72337.210000000006</v>
      </c>
    </row>
    <row r="56" spans="1:13" ht="16.5" thickTop="1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42"/>
    </row>
    <row r="57" spans="1:13" ht="16.5" thickBot="1">
      <c r="A57" s="128"/>
      <c r="C57" s="128"/>
      <c r="D57" s="128"/>
      <c r="E57" s="128"/>
      <c r="F57" s="128"/>
      <c r="G57" s="128"/>
      <c r="H57" s="128"/>
      <c r="I57" s="128"/>
      <c r="J57" s="128"/>
      <c r="K57" s="128"/>
      <c r="L57" s="143"/>
    </row>
    <row r="58" spans="1:13" ht="15.75">
      <c r="A58" s="128"/>
      <c r="B58" s="128"/>
      <c r="C58" s="128"/>
      <c r="D58" s="128"/>
      <c r="E58" s="128"/>
      <c r="F58" s="128"/>
      <c r="G58" s="128"/>
      <c r="I58" s="128"/>
      <c r="J58" s="128"/>
      <c r="K58" s="128"/>
      <c r="L58" s="112"/>
    </row>
    <row r="59" spans="1:13" ht="15.75">
      <c r="A59" s="89" t="s">
        <v>232</v>
      </c>
      <c r="B59" s="87"/>
      <c r="C59" s="87"/>
      <c r="D59" s="87"/>
      <c r="E59" s="87"/>
      <c r="F59" s="102"/>
      <c r="G59" s="102"/>
      <c r="I59" s="111"/>
      <c r="J59" s="111"/>
      <c r="K59" s="111"/>
      <c r="L59" s="112"/>
    </row>
    <row r="60" spans="1:13" ht="15.75">
      <c r="A60" s="87"/>
      <c r="B60" s="87" t="s">
        <v>233</v>
      </c>
      <c r="C60" s="91"/>
      <c r="D60" s="91"/>
      <c r="E60" s="96">
        <v>23</v>
      </c>
      <c r="F60" s="97">
        <v>178000</v>
      </c>
      <c r="G60" s="97"/>
      <c r="H60" s="111">
        <v>250000</v>
      </c>
      <c r="I60" s="97"/>
      <c r="J60" s="97">
        <v>250000</v>
      </c>
      <c r="K60" s="97"/>
      <c r="L60" s="124">
        <v>100000</v>
      </c>
      <c r="M60" s="101"/>
    </row>
    <row r="61" spans="1:13" ht="15.75">
      <c r="A61" s="87"/>
      <c r="B61" s="87" t="s">
        <v>234</v>
      </c>
      <c r="C61" s="91"/>
      <c r="D61" s="91"/>
      <c r="E61" s="96">
        <v>24</v>
      </c>
      <c r="F61" s="102">
        <v>67478</v>
      </c>
      <c r="G61" s="97"/>
      <c r="H61" s="111">
        <v>0</v>
      </c>
      <c r="I61" s="97"/>
      <c r="J61" s="102">
        <v>0</v>
      </c>
      <c r="K61" s="97"/>
      <c r="L61" s="114">
        <v>0</v>
      </c>
    </row>
    <row r="62" spans="1:13" ht="15.75" hidden="1">
      <c r="A62" s="87"/>
      <c r="B62" s="87" t="s">
        <v>235</v>
      </c>
      <c r="C62" s="91"/>
      <c r="D62" s="91"/>
      <c r="E62" s="96">
        <v>25</v>
      </c>
      <c r="F62" s="102">
        <v>0</v>
      </c>
      <c r="G62" s="102"/>
      <c r="H62" s="97">
        <v>0</v>
      </c>
      <c r="I62" s="102"/>
      <c r="J62" s="102">
        <v>0</v>
      </c>
      <c r="K62" s="97"/>
      <c r="L62" s="114">
        <v>0</v>
      </c>
    </row>
    <row r="63" spans="1:13" ht="15.75">
      <c r="A63" s="87"/>
      <c r="B63" s="87" t="s">
        <v>236</v>
      </c>
      <c r="C63" s="91"/>
      <c r="D63" s="91"/>
      <c r="E63" s="96">
        <v>26</v>
      </c>
      <c r="F63" s="144">
        <v>49463.63</v>
      </c>
      <c r="G63" s="102"/>
      <c r="H63" s="102">
        <v>35000</v>
      </c>
      <c r="I63" s="111"/>
      <c r="J63" s="144">
        <v>49000</v>
      </c>
      <c r="K63" s="111"/>
      <c r="L63" s="145">
        <v>40000</v>
      </c>
    </row>
    <row r="64" spans="1:13" ht="15.75">
      <c r="A64" s="87"/>
      <c r="B64" s="87"/>
      <c r="C64" s="91"/>
      <c r="D64" s="91"/>
      <c r="E64" s="91"/>
      <c r="F64" s="102"/>
      <c r="G64" s="102"/>
      <c r="H64" s="111"/>
      <c r="I64" s="111"/>
      <c r="J64" s="111"/>
      <c r="K64" s="111"/>
      <c r="L64" s="112"/>
    </row>
    <row r="65" spans="1:13" ht="16.5" thickBot="1">
      <c r="A65" s="89" t="s">
        <v>237</v>
      </c>
      <c r="B65" s="89"/>
      <c r="C65" s="117"/>
      <c r="D65" s="117"/>
      <c r="E65" s="117"/>
      <c r="F65" s="136">
        <f>SUM(F60:F64)</f>
        <v>294941.63</v>
      </c>
      <c r="G65" s="119"/>
      <c r="H65" s="136">
        <v>285000</v>
      </c>
      <c r="I65" s="119"/>
      <c r="J65" s="136">
        <f>SUM(J60:J64)</f>
        <v>299000</v>
      </c>
      <c r="K65" s="119"/>
      <c r="L65" s="120">
        <f>SUM(L60:L64)</f>
        <v>140000</v>
      </c>
      <c r="M65" s="146"/>
    </row>
    <row r="66" spans="1:13" ht="16.5" thickTop="1">
      <c r="A66" s="87"/>
      <c r="B66" s="87"/>
      <c r="C66" s="91"/>
      <c r="D66" s="91"/>
      <c r="F66" s="102"/>
      <c r="G66" s="102"/>
      <c r="H66" s="111"/>
      <c r="I66" s="111"/>
      <c r="J66" s="111"/>
      <c r="K66" s="111"/>
      <c r="L66" s="112"/>
    </row>
    <row r="67" spans="1:13" ht="15.75">
      <c r="A67" s="89" t="s">
        <v>238</v>
      </c>
      <c r="B67" s="87"/>
      <c r="C67" s="91"/>
      <c r="D67" s="91"/>
      <c r="E67" s="91"/>
      <c r="F67" s="102"/>
      <c r="G67" s="102"/>
      <c r="H67" s="111"/>
      <c r="I67" s="111"/>
      <c r="J67" s="111"/>
      <c r="K67" s="111"/>
      <c r="L67" s="112"/>
    </row>
    <row r="68" spans="1:13" ht="15.75">
      <c r="A68" s="91"/>
      <c r="B68" s="87" t="s">
        <v>239</v>
      </c>
      <c r="C68" s="87"/>
      <c r="D68" s="87"/>
      <c r="E68" s="87"/>
      <c r="F68" s="102"/>
      <c r="G68" s="102"/>
      <c r="H68" s="111"/>
      <c r="I68" s="111"/>
      <c r="J68" s="111"/>
      <c r="K68" s="111"/>
      <c r="L68" s="112"/>
    </row>
    <row r="69" spans="1:13" ht="15.75">
      <c r="A69" s="87"/>
      <c r="B69" s="87"/>
      <c r="C69" s="87" t="s">
        <v>240</v>
      </c>
      <c r="D69" s="87"/>
      <c r="E69" s="96">
        <v>27</v>
      </c>
      <c r="F69" s="147">
        <v>206812</v>
      </c>
      <c r="G69" s="102"/>
      <c r="H69" s="148">
        <v>800000</v>
      </c>
      <c r="I69" s="111"/>
      <c r="J69" s="148">
        <f>-27332.58+791600+3</f>
        <v>764270.42</v>
      </c>
      <c r="K69" s="149"/>
      <c r="L69" s="150">
        <f>'3'!K42</f>
        <v>0</v>
      </c>
      <c r="M69" s="151"/>
    </row>
    <row r="70" spans="1:13" ht="15.75">
      <c r="A70" s="134"/>
      <c r="B70" s="134"/>
      <c r="C70" s="87"/>
      <c r="D70" s="87"/>
      <c r="E70" s="87"/>
      <c r="F70" s="102"/>
      <c r="G70" s="102"/>
      <c r="H70" s="111"/>
      <c r="I70" s="111"/>
      <c r="J70" s="111"/>
      <c r="K70" s="111"/>
      <c r="L70" s="112"/>
      <c r="M70" s="151"/>
    </row>
    <row r="71" spans="1:13" ht="15.75">
      <c r="A71" s="87"/>
      <c r="B71" s="87" t="s">
        <v>241</v>
      </c>
      <c r="C71" s="87"/>
      <c r="D71" s="87"/>
      <c r="E71" s="87"/>
      <c r="F71" s="147">
        <f>SUM(F69:F70)</f>
        <v>206812</v>
      </c>
      <c r="G71" s="97"/>
      <c r="H71" s="147">
        <v>800000</v>
      </c>
      <c r="I71" s="97"/>
      <c r="J71" s="147">
        <f>SUM(J69:J70)</f>
        <v>764270.42</v>
      </c>
      <c r="K71" s="97"/>
      <c r="L71" s="150">
        <f>SUM(L69:L70)</f>
        <v>0</v>
      </c>
    </row>
    <row r="72" spans="1:13" ht="15.75">
      <c r="A72" s="87"/>
      <c r="B72" s="87"/>
      <c r="C72" s="87"/>
      <c r="D72" s="87"/>
      <c r="E72" s="87"/>
      <c r="F72" s="102"/>
      <c r="G72" s="102"/>
      <c r="H72" s="111"/>
      <c r="I72" s="111"/>
      <c r="J72" s="111"/>
      <c r="K72" s="111"/>
      <c r="L72" s="112"/>
    </row>
    <row r="73" spans="1:13" ht="15.75">
      <c r="A73" s="89" t="s">
        <v>242</v>
      </c>
      <c r="B73" s="89"/>
      <c r="C73" s="89"/>
      <c r="D73" s="89"/>
      <c r="E73" s="89"/>
      <c r="F73" s="125">
        <f>+F71</f>
        <v>206812</v>
      </c>
      <c r="G73" s="119"/>
      <c r="H73" s="125">
        <v>800000</v>
      </c>
      <c r="I73" s="119"/>
      <c r="J73" s="125">
        <f>+J71</f>
        <v>764270.42</v>
      </c>
      <c r="K73" s="119"/>
      <c r="L73" s="126">
        <f>+L71</f>
        <v>0</v>
      </c>
    </row>
    <row r="74" spans="1:13" ht="15.75">
      <c r="A74" s="87"/>
      <c r="B74" s="87"/>
      <c r="C74" s="87"/>
      <c r="D74" s="87"/>
      <c r="F74" s="111"/>
      <c r="G74" s="111"/>
      <c r="H74" s="111"/>
      <c r="I74" s="111"/>
      <c r="J74" s="111"/>
      <c r="K74" s="111"/>
      <c r="L74" s="112"/>
    </row>
    <row r="75" spans="1:13" ht="16.5" thickBot="1">
      <c r="A75" s="87"/>
      <c r="B75" s="87"/>
      <c r="C75" s="89" t="s">
        <v>243</v>
      </c>
      <c r="D75" s="89"/>
      <c r="E75" s="89"/>
      <c r="F75" s="118">
        <f>+F65-F73</f>
        <v>88129.63</v>
      </c>
      <c r="G75" s="119"/>
      <c r="H75" s="140">
        <v>-515000</v>
      </c>
      <c r="I75" s="119"/>
      <c r="J75" s="140">
        <f>+J65-J73</f>
        <v>-465270.42000000004</v>
      </c>
      <c r="K75" s="119"/>
      <c r="L75" s="165">
        <f>+L65-L73</f>
        <v>140000</v>
      </c>
    </row>
    <row r="76" spans="1:13" ht="16.5" thickTop="1">
      <c r="A76" s="87"/>
      <c r="B76" s="87"/>
      <c r="C76" s="89"/>
      <c r="D76" s="89"/>
      <c r="E76" s="89"/>
      <c r="F76" s="137"/>
      <c r="G76" s="119"/>
      <c r="H76" s="119"/>
      <c r="I76" s="119"/>
      <c r="J76" s="119"/>
      <c r="K76" s="119"/>
      <c r="L76" s="138"/>
    </row>
    <row r="77" spans="1:13" ht="15.75">
      <c r="A77" s="87"/>
      <c r="B77" s="87"/>
      <c r="C77" s="87" t="s">
        <v>244</v>
      </c>
      <c r="D77" s="89"/>
      <c r="E77" s="89"/>
      <c r="F77" s="137"/>
      <c r="G77" s="119"/>
      <c r="H77" s="102">
        <v>100000</v>
      </c>
      <c r="I77" s="119"/>
      <c r="J77" s="97">
        <v>0</v>
      </c>
      <c r="K77" s="119"/>
      <c r="L77" s="124">
        <v>100000</v>
      </c>
    </row>
    <row r="78" spans="1:13" ht="15.75">
      <c r="A78" s="87"/>
      <c r="B78" s="87"/>
      <c r="C78" s="87"/>
      <c r="D78" s="87"/>
      <c r="E78" s="87"/>
      <c r="F78" s="111"/>
      <c r="G78" s="111"/>
      <c r="I78" s="111"/>
      <c r="J78" s="111"/>
      <c r="K78" s="111"/>
      <c r="L78" s="114"/>
    </row>
    <row r="79" spans="1:13" ht="15.75">
      <c r="A79" s="89" t="s">
        <v>245</v>
      </c>
      <c r="B79" s="89"/>
      <c r="C79" s="89"/>
      <c r="D79" s="89"/>
      <c r="E79" s="89"/>
      <c r="F79" s="152"/>
      <c r="G79" s="152"/>
      <c r="H79" s="153"/>
      <c r="I79" s="152"/>
      <c r="J79" s="152"/>
      <c r="K79" s="152"/>
      <c r="L79" s="154"/>
    </row>
    <row r="80" spans="1:13" ht="16.5" thickBot="1">
      <c r="A80" s="117" t="s">
        <v>246</v>
      </c>
      <c r="B80" s="117"/>
      <c r="C80" s="117"/>
      <c r="D80" s="117"/>
      <c r="E80" s="96">
        <v>28</v>
      </c>
      <c r="F80" s="136">
        <f>+F55+F75+1</f>
        <v>40662.640000000014</v>
      </c>
      <c r="G80" s="119"/>
      <c r="H80" s="155">
        <v>-714999.8899999999</v>
      </c>
      <c r="I80" s="119"/>
      <c r="J80" s="155">
        <f>+J55+J75</f>
        <v>-528181.42000000004</v>
      </c>
      <c r="K80" s="119"/>
      <c r="L80" s="156">
        <f>+L55+L75-L77</f>
        <v>-32337.210000000006</v>
      </c>
    </row>
    <row r="81" spans="1:12" ht="16.5" thickTop="1">
      <c r="A81" s="117"/>
      <c r="B81" s="117"/>
      <c r="C81" s="117"/>
      <c r="D81" s="117"/>
      <c r="E81" s="96"/>
      <c r="F81" s="137"/>
      <c r="G81" s="119"/>
      <c r="H81" s="137"/>
      <c r="I81" s="119"/>
      <c r="J81" s="137"/>
      <c r="K81" s="119"/>
      <c r="L81" s="157"/>
    </row>
    <row r="82" spans="1:12" ht="15.75">
      <c r="A82" s="117"/>
      <c r="B82" s="117"/>
      <c r="C82" s="117"/>
      <c r="D82" s="117"/>
      <c r="E82" s="96"/>
      <c r="F82" s="137"/>
      <c r="G82" s="119"/>
      <c r="H82" s="137"/>
      <c r="I82" s="119"/>
      <c r="J82" s="137"/>
      <c r="K82" s="119"/>
      <c r="L82" s="157"/>
    </row>
    <row r="83" spans="1:12" ht="15.75">
      <c r="A83" s="89" t="s">
        <v>247</v>
      </c>
      <c r="B83" s="89"/>
      <c r="C83" s="87"/>
      <c r="D83" s="87"/>
      <c r="E83" s="87"/>
      <c r="F83" s="72"/>
      <c r="G83" s="72"/>
      <c r="H83" s="72"/>
      <c r="I83" s="72"/>
      <c r="J83" s="72"/>
      <c r="K83" s="72"/>
      <c r="L83" s="90"/>
    </row>
    <row r="84" spans="1:12" ht="15.75">
      <c r="A84" s="158" t="s">
        <v>248</v>
      </c>
      <c r="B84" s="158"/>
      <c r="C84" s="158"/>
      <c r="D84" s="158"/>
      <c r="E84" s="96">
        <v>1</v>
      </c>
      <c r="F84" s="119">
        <v>2656759</v>
      </c>
      <c r="G84" s="119"/>
      <c r="H84" s="119">
        <v>2654456.75</v>
      </c>
      <c r="I84" s="119"/>
      <c r="J84" s="119">
        <f>F93</f>
        <v>2697421.64</v>
      </c>
      <c r="K84" s="119"/>
      <c r="L84" s="138">
        <f>+J87</f>
        <v>2169240.2200000002</v>
      </c>
    </row>
    <row r="85" spans="1:12" ht="15.75">
      <c r="A85" s="117"/>
      <c r="B85" s="117"/>
      <c r="C85" s="117"/>
      <c r="D85" s="117"/>
      <c r="E85" s="117"/>
      <c r="F85" s="119"/>
      <c r="G85" s="119"/>
      <c r="I85" s="119"/>
      <c r="J85" s="159"/>
      <c r="K85" s="119"/>
      <c r="L85" s="160"/>
    </row>
    <row r="86" spans="1:12" ht="15.75">
      <c r="A86" s="89" t="s">
        <v>247</v>
      </c>
      <c r="B86" s="89"/>
      <c r="C86" s="87"/>
      <c r="D86" s="87"/>
      <c r="E86" s="87"/>
      <c r="F86" s="97"/>
      <c r="G86" s="97"/>
      <c r="H86" s="111"/>
      <c r="I86" s="97"/>
      <c r="J86" s="111"/>
      <c r="K86" s="97"/>
      <c r="L86" s="112"/>
    </row>
    <row r="87" spans="1:12" ht="16.5" thickBot="1">
      <c r="A87" s="158" t="s">
        <v>249</v>
      </c>
      <c r="B87" s="158"/>
      <c r="C87" s="158"/>
      <c r="D87" s="158"/>
      <c r="E87" s="96">
        <v>29</v>
      </c>
      <c r="F87" s="118">
        <f>+F84+F80</f>
        <v>2697421.64</v>
      </c>
      <c r="G87" s="97"/>
      <c r="H87" s="159">
        <v>1939456.86</v>
      </c>
      <c r="I87" s="97"/>
      <c r="J87" s="119">
        <f>+J84+J55+J75</f>
        <v>2169240.2200000002</v>
      </c>
      <c r="K87" s="97"/>
      <c r="L87" s="138">
        <f>+L84+L80</f>
        <v>2136903.0100000002</v>
      </c>
    </row>
    <row r="88" spans="1:12" ht="16.5" thickTop="1">
      <c r="A88" s="87"/>
      <c r="B88" s="87"/>
      <c r="C88" s="87"/>
      <c r="D88" s="87"/>
      <c r="E88" s="87"/>
      <c r="F88" s="97"/>
      <c r="G88" s="97"/>
      <c r="H88" s="161"/>
      <c r="I88" s="97"/>
      <c r="J88" s="161"/>
      <c r="K88" s="97"/>
      <c r="L88" s="162"/>
    </row>
    <row r="89" spans="1:12" ht="15.75" hidden="1">
      <c r="A89" s="89" t="s">
        <v>250</v>
      </c>
      <c r="B89" s="89"/>
      <c r="C89" s="87"/>
      <c r="D89" s="87"/>
      <c r="E89" s="87"/>
      <c r="F89" s="97"/>
      <c r="G89" s="97"/>
      <c r="H89" s="111">
        <v>350000</v>
      </c>
      <c r="I89" s="97"/>
      <c r="J89" s="111"/>
      <c r="K89" s="97"/>
      <c r="L89" s="112"/>
    </row>
    <row r="90" spans="1:12" ht="15.75" hidden="1">
      <c r="A90" s="134"/>
      <c r="B90" s="134"/>
      <c r="C90" s="87" t="s">
        <v>251</v>
      </c>
      <c r="D90" s="87"/>
      <c r="E90" s="87"/>
      <c r="F90" s="97">
        <f>F87-F91</f>
        <v>2347421.64</v>
      </c>
      <c r="G90" s="97"/>
      <c r="H90" s="97"/>
      <c r="I90" s="97"/>
      <c r="J90" s="97">
        <f>J87-J91</f>
        <v>1819240.2200000002</v>
      </c>
      <c r="K90" s="97"/>
      <c r="L90" s="124">
        <f>L87-L91</f>
        <v>1786903.0100000002</v>
      </c>
    </row>
    <row r="91" spans="1:12" ht="15.75" hidden="1">
      <c r="A91" s="134"/>
      <c r="B91" s="134"/>
      <c r="C91" s="87" t="s">
        <v>252</v>
      </c>
      <c r="D91" s="87"/>
      <c r="E91" s="87"/>
      <c r="F91" s="115">
        <v>350000</v>
      </c>
      <c r="G91" s="97"/>
      <c r="H91" s="102">
        <v>2622358.0399999996</v>
      </c>
      <c r="I91" s="97"/>
      <c r="J91" s="111">
        <v>350000</v>
      </c>
      <c r="K91" s="97"/>
      <c r="L91" s="112">
        <v>350000</v>
      </c>
    </row>
    <row r="92" spans="1:12" ht="15.75" hidden="1">
      <c r="A92" s="134"/>
      <c r="B92" s="134"/>
      <c r="C92" s="87"/>
      <c r="D92" s="87"/>
      <c r="E92" s="87"/>
      <c r="F92" s="97"/>
      <c r="G92" s="97"/>
      <c r="H92" s="163"/>
      <c r="I92" s="97"/>
      <c r="J92" s="163"/>
      <c r="K92" s="97"/>
      <c r="L92" s="164"/>
    </row>
    <row r="93" spans="1:12" ht="16.5" hidden="1" thickBot="1">
      <c r="A93" s="158"/>
      <c r="B93" s="158"/>
      <c r="C93" s="158"/>
      <c r="D93" s="158"/>
      <c r="E93" s="158"/>
      <c r="F93" s="118">
        <f>F90+F91</f>
        <v>2697421.64</v>
      </c>
      <c r="G93" s="97"/>
      <c r="H93" s="118">
        <v>2811061.11</v>
      </c>
      <c r="I93" s="97"/>
      <c r="J93" s="118">
        <f>SUM(J90:J91)</f>
        <v>2169240.2200000002</v>
      </c>
      <c r="K93" s="97"/>
      <c r="L93" s="165">
        <f>SUM(L90:L91)</f>
        <v>2136903.0100000002</v>
      </c>
    </row>
    <row r="94" spans="1:12" ht="16.5" thickBot="1">
      <c r="A94" s="87"/>
      <c r="B94" s="87"/>
      <c r="C94" s="87"/>
      <c r="D94" s="87"/>
      <c r="E94" s="87"/>
      <c r="F94" s="72"/>
      <c r="G94" s="72"/>
      <c r="H94" s="166"/>
      <c r="I94" s="166"/>
      <c r="J94" s="166"/>
      <c r="K94" s="166"/>
      <c r="L94" s="167"/>
    </row>
    <row r="95" spans="1:12" ht="15.75">
      <c r="A95" s="87"/>
      <c r="B95" s="87"/>
      <c r="C95" s="87"/>
      <c r="D95" s="87"/>
      <c r="E95" s="168" t="s">
        <v>253</v>
      </c>
      <c r="F95" s="169"/>
      <c r="G95" s="72"/>
      <c r="H95" s="170"/>
      <c r="I95" s="166"/>
      <c r="J95" s="166"/>
      <c r="K95" s="166"/>
      <c r="L95" s="166"/>
    </row>
    <row r="96" spans="1:12" ht="15.75">
      <c r="A96" s="87"/>
      <c r="B96" s="87"/>
      <c r="C96" s="87"/>
      <c r="D96" s="87"/>
      <c r="E96" s="168" t="s">
        <v>254</v>
      </c>
      <c r="F96" s="169"/>
      <c r="G96" s="72"/>
      <c r="H96" s="170"/>
      <c r="I96" s="166"/>
      <c r="J96" s="166"/>
      <c r="K96" s="166"/>
      <c r="L96" s="166"/>
    </row>
    <row r="97" spans="1:12" ht="15.75">
      <c r="A97" s="87"/>
      <c r="B97" s="87"/>
      <c r="C97" s="87"/>
      <c r="D97" s="87"/>
      <c r="E97" s="87"/>
      <c r="F97" s="72"/>
      <c r="G97" s="72"/>
      <c r="H97" s="170"/>
      <c r="I97" s="166"/>
      <c r="J97" s="166"/>
      <c r="K97" s="166"/>
      <c r="L97" s="166"/>
    </row>
    <row r="98" spans="1:12" ht="15.75">
      <c r="A98" s="87"/>
      <c r="B98" s="87"/>
      <c r="C98" s="87"/>
      <c r="D98" s="87"/>
      <c r="E98" s="87"/>
      <c r="F98" s="72"/>
      <c r="G98" s="72"/>
      <c r="H98" s="170"/>
      <c r="I98" s="166"/>
      <c r="J98" s="166"/>
      <c r="K98" s="166"/>
      <c r="L98" s="166"/>
    </row>
    <row r="99" spans="1:12" ht="15.75">
      <c r="A99" s="89" t="s">
        <v>255</v>
      </c>
      <c r="B99" s="89"/>
      <c r="C99" s="89"/>
      <c r="D99" s="89"/>
      <c r="E99" s="89"/>
      <c r="F99" s="72"/>
      <c r="G99" s="87"/>
      <c r="H99" s="87"/>
      <c r="I99" s="87"/>
      <c r="J99" s="72"/>
      <c r="K99" s="72"/>
      <c r="L99" s="72"/>
    </row>
    <row r="100" spans="1:12" ht="15.75">
      <c r="A100" s="89"/>
      <c r="B100" s="87" t="s">
        <v>256</v>
      </c>
      <c r="C100" s="89"/>
      <c r="D100" s="89"/>
      <c r="E100" s="89"/>
      <c r="F100" s="72"/>
      <c r="G100" s="87"/>
      <c r="H100" s="87"/>
      <c r="I100" s="87"/>
      <c r="J100" s="72"/>
      <c r="K100" s="87"/>
      <c r="L100" s="72"/>
    </row>
    <row r="101" spans="1:12" ht="15.75">
      <c r="A101" s="89"/>
      <c r="B101" s="87"/>
      <c r="C101" s="87" t="s">
        <v>257</v>
      </c>
      <c r="D101" s="87"/>
      <c r="E101" s="87"/>
      <c r="F101" s="171"/>
      <c r="G101" s="172"/>
      <c r="H101" s="172"/>
      <c r="I101" s="172"/>
      <c r="J101" s="171">
        <f>+J47</f>
        <v>828146</v>
      </c>
      <c r="K101" s="87"/>
      <c r="L101" s="97">
        <f>L53</f>
        <v>1070287.26</v>
      </c>
    </row>
    <row r="102" spans="1:12" ht="15.75">
      <c r="A102" s="89"/>
      <c r="B102" s="87"/>
      <c r="C102" s="87" t="s">
        <v>258</v>
      </c>
      <c r="D102" s="87"/>
      <c r="E102" s="87"/>
      <c r="F102" s="173"/>
      <c r="G102" s="174"/>
      <c r="H102" s="174">
        <f>+H71</f>
        <v>800000</v>
      </c>
      <c r="I102" s="174"/>
      <c r="J102" s="173">
        <f>+J71</f>
        <v>764270.42</v>
      </c>
      <c r="K102" s="175"/>
      <c r="L102" s="102">
        <f>+L71+L77</f>
        <v>100000</v>
      </c>
    </row>
    <row r="103" spans="1:12" ht="16.5" thickBot="1">
      <c r="A103" s="89"/>
      <c r="B103" s="89"/>
      <c r="C103" s="89" t="s">
        <v>259</v>
      </c>
      <c r="D103" s="89"/>
      <c r="E103" s="89"/>
      <c r="F103" s="176"/>
      <c r="G103" s="177"/>
      <c r="H103" s="177">
        <f>+H101+H102</f>
        <v>800000</v>
      </c>
      <c r="I103" s="177"/>
      <c r="J103" s="176">
        <f>+J101+J102</f>
        <v>1592416.42</v>
      </c>
      <c r="K103" s="89"/>
      <c r="L103" s="136">
        <f>+L101+L102</f>
        <v>1170287.26</v>
      </c>
    </row>
    <row r="104" spans="1:12" ht="16.5" thickTop="1">
      <c r="A104" s="89"/>
      <c r="B104" s="89"/>
      <c r="C104" s="89"/>
      <c r="D104" s="89"/>
      <c r="E104" s="89"/>
      <c r="F104" s="171"/>
      <c r="G104" s="172"/>
      <c r="H104" s="172"/>
      <c r="I104" s="172"/>
      <c r="J104" s="171"/>
      <c r="K104" s="87"/>
      <c r="L104" s="97"/>
    </row>
    <row r="105" spans="1:12" ht="15.75">
      <c r="A105" s="87"/>
      <c r="B105" s="87" t="s">
        <v>260</v>
      </c>
      <c r="C105" s="91"/>
      <c r="D105" s="91"/>
      <c r="E105" s="91"/>
      <c r="F105" s="171"/>
      <c r="G105" s="172"/>
      <c r="H105" s="172"/>
      <c r="I105" s="172"/>
      <c r="J105" s="171"/>
      <c r="K105" s="87"/>
      <c r="L105" s="97"/>
    </row>
    <row r="106" spans="1:12" ht="15.75">
      <c r="A106" s="87"/>
      <c r="B106" s="87"/>
      <c r="C106" s="87" t="s">
        <v>261</v>
      </c>
      <c r="D106" s="87"/>
      <c r="E106" s="87"/>
      <c r="F106" s="171"/>
      <c r="G106" s="172"/>
      <c r="H106" s="172"/>
      <c r="I106" s="172"/>
      <c r="J106" s="171"/>
      <c r="K106" s="87"/>
      <c r="L106" s="97"/>
    </row>
    <row r="107" spans="1:12" ht="15.75">
      <c r="A107" s="87"/>
      <c r="B107" s="87"/>
      <c r="C107" s="91" t="s">
        <v>262</v>
      </c>
      <c r="D107" s="91"/>
      <c r="E107" s="91"/>
      <c r="F107" s="171"/>
      <c r="G107" s="172"/>
      <c r="H107" s="172">
        <f>+H65</f>
        <v>285000</v>
      </c>
      <c r="I107" s="172"/>
      <c r="J107" s="171">
        <f>+J65</f>
        <v>299000</v>
      </c>
      <c r="K107" s="87"/>
      <c r="L107" s="97">
        <f>+L65</f>
        <v>140000</v>
      </c>
    </row>
    <row r="108" spans="1:12" ht="15.75">
      <c r="A108" s="87"/>
      <c r="B108" s="87"/>
      <c r="C108" s="87" t="s">
        <v>263</v>
      </c>
      <c r="D108" s="87"/>
      <c r="E108" s="87"/>
      <c r="F108" s="173"/>
      <c r="G108" s="174"/>
      <c r="H108" s="174">
        <f>+H18</f>
        <v>764170</v>
      </c>
      <c r="I108" s="174"/>
      <c r="J108" s="173">
        <f>+J18</f>
        <v>765235</v>
      </c>
      <c r="K108" s="175"/>
      <c r="L108" s="102">
        <f>+L18</f>
        <v>997950</v>
      </c>
    </row>
    <row r="109" spans="1:12" ht="16.5" thickBot="1">
      <c r="A109" s="87"/>
      <c r="B109" s="87"/>
      <c r="C109" s="91" t="s">
        <v>264</v>
      </c>
      <c r="D109" s="91"/>
      <c r="E109" s="91"/>
      <c r="F109" s="171"/>
      <c r="G109" s="172"/>
      <c r="H109" s="172">
        <f>SUM(H107:H108)</f>
        <v>1049170</v>
      </c>
      <c r="I109" s="172"/>
      <c r="J109" s="171">
        <f>SUM(J107:J108)</f>
        <v>1064235</v>
      </c>
      <c r="K109" s="87"/>
      <c r="L109" s="178">
        <f>SUM(L107:L108)</f>
        <v>1137950</v>
      </c>
    </row>
    <row r="110" spans="1:12" ht="16.5" thickTop="1">
      <c r="A110" s="87"/>
      <c r="B110" s="87"/>
      <c r="C110" s="87" t="s">
        <v>265</v>
      </c>
      <c r="D110" s="87"/>
      <c r="E110" s="87"/>
      <c r="F110" s="171"/>
      <c r="G110" s="172"/>
      <c r="H110" s="172">
        <f>+H84</f>
        <v>2654456.75</v>
      </c>
      <c r="I110" s="172"/>
      <c r="J110" s="171">
        <f>+J84</f>
        <v>2697421.64</v>
      </c>
      <c r="K110" s="87"/>
      <c r="L110" s="102">
        <f>+L84</f>
        <v>2169240.2200000002</v>
      </c>
    </row>
    <row r="111" spans="1:12" ht="15.75">
      <c r="A111" s="87"/>
      <c r="B111" s="87"/>
      <c r="C111" s="89"/>
      <c r="D111" s="89"/>
      <c r="E111" s="89"/>
      <c r="F111" s="171"/>
      <c r="G111" s="172"/>
      <c r="H111" s="172"/>
      <c r="I111" s="172"/>
      <c r="J111" s="171"/>
      <c r="K111" s="87"/>
      <c r="L111" s="97"/>
    </row>
    <row r="112" spans="1:12" ht="16.5" thickBot="1">
      <c r="A112" s="87"/>
      <c r="B112" s="87"/>
      <c r="C112" s="89" t="s">
        <v>266</v>
      </c>
      <c r="D112" s="89"/>
      <c r="E112" s="89"/>
      <c r="F112" s="176"/>
      <c r="G112" s="177"/>
      <c r="H112" s="177">
        <f>+H109+H110+1</f>
        <v>3703627.75</v>
      </c>
      <c r="I112" s="177"/>
      <c r="J112" s="176">
        <f>+J109+J110</f>
        <v>3761656.64</v>
      </c>
      <c r="K112" s="89"/>
      <c r="L112" s="136">
        <f>L109+L110</f>
        <v>3307190.22</v>
      </c>
    </row>
    <row r="113" spans="10:10" ht="15.75" thickTop="1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</sheetData>
  <sheetProtection algorithmName="SHA-512" hashValue="KMRFP3RIm+MJdRDzr2wJe09kfEu0CnyLrFZ4ZZgOfMl6PuMnkAWoBKEbqYRe1/aoAn+jpAWfPgWwQayDK1/HMw==" saltValue="NmEzsM7z2a8qO/v0y0+3oQ==" spinCount="100000" sheet="1" objects="1" scenarios="1" selectLockedCells="1" selectUnlockedCells="1"/>
  <mergeCells count="3">
    <mergeCell ref="A1:L1"/>
    <mergeCell ref="A3:L3"/>
    <mergeCell ref="M5:N5"/>
  </mergeCells>
  <pageMargins left="0.5" right="0.25" top="0.75" bottom="0.75" header="0.3" footer="0.3"/>
  <pageSetup scale="73" fitToHeight="0" orientation="portrait" r:id="rId1"/>
  <rowBreaks count="2" manualBreakCount="2">
    <brk id="57" max="11" man="1"/>
    <brk id="9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56F1-F14E-496B-8A0F-38B0E51D654A}">
  <sheetPr>
    <pageSetUpPr fitToPage="1"/>
  </sheetPr>
  <dimension ref="A1:M69"/>
  <sheetViews>
    <sheetView topLeftCell="U1" zoomScaleNormal="100" workbookViewId="0">
      <selection sqref="A1:T1048576"/>
    </sheetView>
  </sheetViews>
  <sheetFormatPr defaultRowHeight="15"/>
  <cols>
    <col min="1" max="1" width="6" style="2" hidden="1" customWidth="1"/>
    <col min="2" max="2" width="6.28515625" style="2" hidden="1" customWidth="1"/>
    <col min="3" max="3" width="37.5703125" hidden="1" customWidth="1"/>
    <col min="4" max="4" width="7.42578125" style="11" hidden="1" customWidth="1"/>
    <col min="5" max="5" width="5.5703125" style="1" hidden="1" customWidth="1"/>
    <col min="6" max="6" width="19" style="3" hidden="1" customWidth="1"/>
    <col min="7" max="7" width="12.5703125" style="3" hidden="1" customWidth="1"/>
    <col min="8" max="8" width="10.28515625" style="3" hidden="1" customWidth="1"/>
    <col min="9" max="9" width="12.5703125" style="3" hidden="1" customWidth="1"/>
    <col min="10" max="10" width="0" style="3" hidden="1" customWidth="1"/>
    <col min="11" max="11" width="14.28515625" style="28" hidden="1" customWidth="1"/>
    <col min="12" max="12" width="11.5703125" hidden="1" customWidth="1"/>
    <col min="13" max="20" width="0" hidden="1" customWidth="1"/>
  </cols>
  <sheetData>
    <row r="1" spans="1:12" ht="21">
      <c r="A1" s="198" t="s">
        <v>269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3" spans="1:12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s="2" customFormat="1" ht="30">
      <c r="A4" s="5" t="s">
        <v>1</v>
      </c>
      <c r="B4" s="5" t="s">
        <v>2</v>
      </c>
      <c r="C4" s="5"/>
      <c r="D4" s="13" t="s">
        <v>3</v>
      </c>
      <c r="E4" s="5" t="s">
        <v>4</v>
      </c>
      <c r="F4" s="7" t="s">
        <v>106</v>
      </c>
      <c r="G4" s="7" t="s">
        <v>5</v>
      </c>
      <c r="H4" s="7" t="s">
        <v>6</v>
      </c>
      <c r="I4" s="6" t="s">
        <v>7</v>
      </c>
      <c r="J4" s="6" t="s">
        <v>8</v>
      </c>
      <c r="K4" s="22" t="s">
        <v>9</v>
      </c>
      <c r="L4" s="5" t="s">
        <v>10</v>
      </c>
    </row>
    <row r="5" spans="1:12">
      <c r="A5" s="5">
        <v>11000</v>
      </c>
      <c r="B5" s="5" t="s">
        <v>17</v>
      </c>
      <c r="C5" s="8" t="s">
        <v>11</v>
      </c>
      <c r="D5" s="12">
        <v>7</v>
      </c>
      <c r="E5" s="9" t="s">
        <v>13</v>
      </c>
      <c r="F5" s="179">
        <f>8*195+1*250</f>
        <v>1810</v>
      </c>
      <c r="G5" s="179"/>
      <c r="H5" s="179"/>
      <c r="I5" s="179"/>
      <c r="J5" s="179">
        <v>145</v>
      </c>
      <c r="K5" s="180">
        <f>ROUNDUP(D5*SUM(F5:I5)+J5,-1)</f>
        <v>12820</v>
      </c>
      <c r="L5" s="8" t="s">
        <v>14</v>
      </c>
    </row>
    <row r="6" spans="1:12">
      <c r="A6" s="5">
        <v>11000</v>
      </c>
      <c r="B6" s="5" t="s">
        <v>18</v>
      </c>
      <c r="C6" s="8" t="s">
        <v>12</v>
      </c>
      <c r="D6" s="12">
        <v>12</v>
      </c>
      <c r="E6" s="9" t="s">
        <v>15</v>
      </c>
      <c r="F6" s="179">
        <f>2*195</f>
        <v>390</v>
      </c>
      <c r="G6" s="179"/>
      <c r="H6" s="179"/>
      <c r="I6" s="179"/>
      <c r="J6" s="179"/>
      <c r="K6" s="180">
        <f>D6*SUM(F6:I6)+J6</f>
        <v>4680</v>
      </c>
      <c r="L6" s="8" t="s">
        <v>14</v>
      </c>
    </row>
    <row r="7" spans="1:12">
      <c r="A7" s="5">
        <v>11000</v>
      </c>
      <c r="B7" s="5" t="s">
        <v>64</v>
      </c>
      <c r="C7" s="8" t="s">
        <v>65</v>
      </c>
      <c r="D7" s="12">
        <v>1</v>
      </c>
      <c r="E7" s="9" t="s">
        <v>16</v>
      </c>
      <c r="F7" s="179">
        <v>6000</v>
      </c>
      <c r="G7" s="179"/>
      <c r="H7" s="179"/>
      <c r="I7" s="179"/>
      <c r="J7" s="179"/>
      <c r="K7" s="180">
        <f>D7*SUM(F7:I7)+J7</f>
        <v>6000</v>
      </c>
      <c r="L7" s="8" t="s">
        <v>60</v>
      </c>
    </row>
    <row r="8" spans="1:12">
      <c r="A8" s="5">
        <v>11000</v>
      </c>
      <c r="B8" s="5" t="s">
        <v>20</v>
      </c>
      <c r="C8" s="8" t="s">
        <v>66</v>
      </c>
      <c r="D8" s="12">
        <v>40</v>
      </c>
      <c r="E8" s="9" t="s">
        <v>40</v>
      </c>
      <c r="F8" s="179">
        <v>160</v>
      </c>
      <c r="G8" s="179"/>
      <c r="H8" s="179"/>
      <c r="I8" s="179"/>
      <c r="J8" s="179"/>
      <c r="K8" s="180">
        <f>D8*SUM(F8:I8)+J8</f>
        <v>6400</v>
      </c>
      <c r="L8" s="8" t="s">
        <v>60</v>
      </c>
    </row>
    <row r="9" spans="1:12" ht="15.75" thickBot="1">
      <c r="A9" s="5">
        <v>11000</v>
      </c>
      <c r="B9" s="5" t="s">
        <v>22</v>
      </c>
      <c r="C9" s="8" t="s">
        <v>272</v>
      </c>
      <c r="D9" s="12">
        <v>1</v>
      </c>
      <c r="E9" s="9" t="s">
        <v>13</v>
      </c>
      <c r="F9" s="179">
        <v>7500</v>
      </c>
      <c r="G9" s="179"/>
      <c r="H9" s="179"/>
      <c r="I9" s="179"/>
      <c r="J9" s="179"/>
      <c r="K9" s="181">
        <v>7500</v>
      </c>
      <c r="L9" s="8" t="s">
        <v>75</v>
      </c>
    </row>
    <row r="10" spans="1:12" ht="15.75" thickBot="1">
      <c r="F10" s="182"/>
      <c r="G10" s="183"/>
      <c r="H10" s="183"/>
      <c r="I10" s="183"/>
      <c r="J10" s="184" t="s">
        <v>19</v>
      </c>
      <c r="K10" s="185">
        <f>SUM(K5:K9)</f>
        <v>37400</v>
      </c>
    </row>
    <row r="11" spans="1:12" ht="16.5" customHeight="1">
      <c r="K11" s="24"/>
    </row>
    <row r="12" spans="1:12">
      <c r="A12" s="196" t="s">
        <v>28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</row>
    <row r="13" spans="1:12" ht="30">
      <c r="A13" s="5" t="s">
        <v>1</v>
      </c>
      <c r="B13" s="5" t="s">
        <v>2</v>
      </c>
      <c r="C13" s="5"/>
      <c r="D13" s="13" t="s">
        <v>3</v>
      </c>
      <c r="E13" s="5" t="s">
        <v>4</v>
      </c>
      <c r="F13" s="7" t="s">
        <v>106</v>
      </c>
      <c r="G13" s="7" t="s">
        <v>5</v>
      </c>
      <c r="H13" s="7" t="s">
        <v>6</v>
      </c>
      <c r="I13" s="6" t="s">
        <v>7</v>
      </c>
      <c r="J13" s="6" t="s">
        <v>8</v>
      </c>
      <c r="K13" s="25" t="s">
        <v>9</v>
      </c>
      <c r="L13" s="5" t="s">
        <v>10</v>
      </c>
    </row>
    <row r="14" spans="1:12">
      <c r="A14" s="5">
        <v>13000</v>
      </c>
      <c r="B14" s="5" t="s">
        <v>26</v>
      </c>
      <c r="C14" s="8" t="s">
        <v>21</v>
      </c>
      <c r="D14" s="12">
        <v>12</v>
      </c>
      <c r="E14" s="9" t="s">
        <v>15</v>
      </c>
      <c r="F14" s="179"/>
      <c r="G14" s="179">
        <f>((26*60)+(145*15)+(185*2))</f>
        <v>4105</v>
      </c>
      <c r="H14" s="179"/>
      <c r="I14" s="179"/>
      <c r="J14" s="179"/>
      <c r="K14" s="180">
        <f>D14*SUM(F14:I14)+J14</f>
        <v>49260</v>
      </c>
      <c r="L14" s="8" t="s">
        <v>14</v>
      </c>
    </row>
    <row r="15" spans="1:12">
      <c r="A15" s="5">
        <v>14000</v>
      </c>
      <c r="B15" s="5" t="s">
        <v>30</v>
      </c>
      <c r="C15" s="8" t="s">
        <v>23</v>
      </c>
      <c r="D15" s="12">
        <v>5</v>
      </c>
      <c r="E15" s="9" t="s">
        <v>13</v>
      </c>
      <c r="F15" s="179">
        <f>2*145+0.5*195</f>
        <v>387.5</v>
      </c>
      <c r="G15" s="179">
        <f>2*191</f>
        <v>382</v>
      </c>
      <c r="H15" s="179"/>
      <c r="I15" s="179"/>
      <c r="J15" s="179"/>
      <c r="K15" s="180">
        <f>D15*SUM(F15:I15)+J15</f>
        <v>3847.5</v>
      </c>
      <c r="L15" s="8" t="s">
        <v>25</v>
      </c>
    </row>
    <row r="16" spans="1:12" ht="15.75" thickBot="1">
      <c r="A16" s="5">
        <v>15000</v>
      </c>
      <c r="B16" s="5" t="s">
        <v>31</v>
      </c>
      <c r="C16" s="8" t="s">
        <v>24</v>
      </c>
      <c r="D16" s="12">
        <v>12</v>
      </c>
      <c r="E16" s="9" t="s">
        <v>15</v>
      </c>
      <c r="F16" s="179"/>
      <c r="G16" s="179">
        <f>2*220</f>
        <v>440</v>
      </c>
      <c r="H16" s="179"/>
      <c r="I16" s="179"/>
      <c r="J16" s="179"/>
      <c r="K16" s="193">
        <f>D16*SUM(F16:I16)+J16</f>
        <v>5280</v>
      </c>
      <c r="L16" s="8" t="s">
        <v>14</v>
      </c>
    </row>
    <row r="17" spans="1:13" ht="15.75" thickBot="1">
      <c r="F17" s="183"/>
      <c r="G17" s="183"/>
      <c r="H17" s="183"/>
      <c r="I17" s="183"/>
      <c r="J17" s="184" t="s">
        <v>27</v>
      </c>
      <c r="K17" s="185">
        <f>SUM(K14:K16)</f>
        <v>58387.5</v>
      </c>
    </row>
    <row r="18" spans="1:13">
      <c r="K18" s="24"/>
    </row>
    <row r="19" spans="1:13">
      <c r="A19" s="196" t="s">
        <v>29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1:13" ht="30">
      <c r="A20" s="5" t="s">
        <v>1</v>
      </c>
      <c r="B20" s="5" t="s">
        <v>2</v>
      </c>
      <c r="C20" s="5"/>
      <c r="D20" s="13" t="s">
        <v>3</v>
      </c>
      <c r="E20" s="5" t="s">
        <v>4</v>
      </c>
      <c r="F20" s="7" t="s">
        <v>106</v>
      </c>
      <c r="G20" s="7" t="s">
        <v>5</v>
      </c>
      <c r="H20" s="7" t="s">
        <v>6</v>
      </c>
      <c r="I20" s="6" t="s">
        <v>7</v>
      </c>
      <c r="J20" s="6" t="s">
        <v>8</v>
      </c>
      <c r="K20" s="25" t="s">
        <v>9</v>
      </c>
      <c r="L20" s="5" t="s">
        <v>10</v>
      </c>
    </row>
    <row r="21" spans="1:13">
      <c r="A21" s="5">
        <v>21000</v>
      </c>
      <c r="B21" s="5" t="s">
        <v>32</v>
      </c>
      <c r="C21" s="59" t="s">
        <v>175</v>
      </c>
      <c r="D21" s="13">
        <v>3426</v>
      </c>
      <c r="E21" s="5" t="s">
        <v>49</v>
      </c>
      <c r="F21" s="186"/>
      <c r="G21" s="186"/>
      <c r="H21" s="179">
        <f>0.22</f>
        <v>0.22</v>
      </c>
      <c r="I21" s="187"/>
      <c r="J21" s="187"/>
      <c r="K21" s="180">
        <v>0</v>
      </c>
      <c r="L21" s="8" t="s">
        <v>48</v>
      </c>
    </row>
    <row r="22" spans="1:13">
      <c r="A22" s="5">
        <v>21000</v>
      </c>
      <c r="B22" s="5" t="s">
        <v>45</v>
      </c>
      <c r="C22" s="59" t="s">
        <v>177</v>
      </c>
      <c r="D22" s="13">
        <f>D21*0.1</f>
        <v>342.6</v>
      </c>
      <c r="E22" s="5" t="s">
        <v>49</v>
      </c>
      <c r="F22" s="186"/>
      <c r="G22" s="186"/>
      <c r="H22" s="179">
        <v>1</v>
      </c>
      <c r="I22" s="187"/>
      <c r="J22" s="187"/>
      <c r="K22" s="180">
        <v>0</v>
      </c>
      <c r="L22" s="8" t="s">
        <v>48</v>
      </c>
    </row>
    <row r="23" spans="1:13">
      <c r="A23" s="5">
        <v>21000</v>
      </c>
      <c r="B23" s="5" t="s">
        <v>46</v>
      </c>
      <c r="C23" s="8" t="s">
        <v>39</v>
      </c>
      <c r="D23" s="12">
        <v>4</v>
      </c>
      <c r="E23" s="9" t="s">
        <v>40</v>
      </c>
      <c r="F23" s="179">
        <v>145</v>
      </c>
      <c r="G23" s="179"/>
      <c r="H23" s="179"/>
      <c r="I23" s="179"/>
      <c r="J23" s="179"/>
      <c r="K23" s="180">
        <f>D23*SUM(F23:I23)+J23</f>
        <v>580</v>
      </c>
      <c r="L23" s="8" t="s">
        <v>41</v>
      </c>
      <c r="M23" s="30"/>
    </row>
    <row r="24" spans="1:13" ht="15.75" thickBot="1">
      <c r="A24" s="5">
        <v>23000</v>
      </c>
      <c r="B24" s="5" t="s">
        <v>47</v>
      </c>
      <c r="C24" s="8" t="s">
        <v>42</v>
      </c>
      <c r="D24" s="12">
        <v>38</v>
      </c>
      <c r="E24" s="9" t="s">
        <v>13</v>
      </c>
      <c r="F24" s="179"/>
      <c r="G24" s="179">
        <v>85</v>
      </c>
      <c r="H24" s="179"/>
      <c r="I24" s="179"/>
      <c r="J24" s="179"/>
      <c r="K24" s="180">
        <f>D24*SUM(F24:I24)+J24</f>
        <v>3230</v>
      </c>
      <c r="L24" s="8" t="s">
        <v>14</v>
      </c>
    </row>
    <row r="25" spans="1:13" ht="15.75" thickBot="1">
      <c r="F25" s="183"/>
      <c r="G25" s="183"/>
      <c r="H25" s="183"/>
      <c r="I25" s="183"/>
      <c r="J25" s="184" t="s">
        <v>43</v>
      </c>
      <c r="K25" s="194">
        <f>SUM(K21:K24)</f>
        <v>3810</v>
      </c>
    </row>
    <row r="26" spans="1:13">
      <c r="K26" s="24"/>
    </row>
    <row r="27" spans="1:13">
      <c r="A27" s="196" t="s">
        <v>44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3" ht="30">
      <c r="A28" s="5" t="s">
        <v>1</v>
      </c>
      <c r="B28" s="5" t="s">
        <v>2</v>
      </c>
      <c r="C28" s="5"/>
      <c r="D28" s="13" t="s">
        <v>3</v>
      </c>
      <c r="E28" s="5" t="s">
        <v>4</v>
      </c>
      <c r="F28" s="7" t="s">
        <v>106</v>
      </c>
      <c r="G28" s="7" t="s">
        <v>5</v>
      </c>
      <c r="H28" s="7" t="s">
        <v>6</v>
      </c>
      <c r="I28" s="6" t="s">
        <v>7</v>
      </c>
      <c r="J28" s="6" t="s">
        <v>8</v>
      </c>
      <c r="K28" s="25" t="s">
        <v>9</v>
      </c>
      <c r="L28" s="5" t="s">
        <v>10</v>
      </c>
    </row>
    <row r="29" spans="1:13">
      <c r="A29" s="5">
        <v>31000</v>
      </c>
      <c r="B29" s="5" t="s">
        <v>50</v>
      </c>
      <c r="C29" s="59" t="s">
        <v>175</v>
      </c>
      <c r="D29" s="13">
        <v>106457</v>
      </c>
      <c r="E29" s="5" t="s">
        <v>49</v>
      </c>
      <c r="F29" s="186"/>
      <c r="G29" s="186"/>
      <c r="H29" s="179">
        <f>0.22</f>
        <v>0.22</v>
      </c>
      <c r="I29" s="187"/>
      <c r="J29" s="187"/>
      <c r="K29" s="180">
        <v>0</v>
      </c>
      <c r="L29" s="8" t="s">
        <v>48</v>
      </c>
    </row>
    <row r="30" spans="1:13">
      <c r="A30" s="5">
        <v>31000</v>
      </c>
      <c r="B30" s="5" t="s">
        <v>53</v>
      </c>
      <c r="C30" s="59" t="s">
        <v>177</v>
      </c>
      <c r="D30" s="13">
        <f>D29*0.1</f>
        <v>10645.7</v>
      </c>
      <c r="E30" s="5" t="s">
        <v>49</v>
      </c>
      <c r="F30" s="186"/>
      <c r="G30" s="186"/>
      <c r="H30" s="188">
        <v>1</v>
      </c>
      <c r="I30" s="187"/>
      <c r="J30" s="187"/>
      <c r="K30" s="180">
        <v>0</v>
      </c>
      <c r="L30" s="8" t="s">
        <v>52</v>
      </c>
    </row>
    <row r="31" spans="1:13">
      <c r="A31" s="5">
        <v>31000</v>
      </c>
      <c r="B31" s="5" t="s">
        <v>55</v>
      </c>
      <c r="C31" s="8" t="s">
        <v>183</v>
      </c>
      <c r="D31" s="21">
        <v>33470</v>
      </c>
      <c r="E31" s="9" t="s">
        <v>49</v>
      </c>
      <c r="F31" s="179"/>
      <c r="G31" s="179"/>
      <c r="H31" s="179">
        <v>1</v>
      </c>
      <c r="I31" s="179"/>
      <c r="J31" s="179"/>
      <c r="K31" s="180">
        <f t="shared" ref="K31" si="0">D31*SUM(F31:I31)+J31</f>
        <v>33470</v>
      </c>
      <c r="L31" s="8" t="s">
        <v>48</v>
      </c>
    </row>
    <row r="32" spans="1:13">
      <c r="A32" s="5">
        <v>31000</v>
      </c>
      <c r="B32" s="5" t="s">
        <v>58</v>
      </c>
      <c r="C32" s="8" t="s">
        <v>51</v>
      </c>
      <c r="D32" s="12">
        <v>30</v>
      </c>
      <c r="E32" s="9" t="s">
        <v>40</v>
      </c>
      <c r="F32" s="179">
        <v>145</v>
      </c>
      <c r="G32" s="179"/>
      <c r="H32" s="179"/>
      <c r="I32" s="179"/>
      <c r="J32" s="179">
        <v>50</v>
      </c>
      <c r="K32" s="180">
        <f>D32*SUM(F32:I32)+J32</f>
        <v>4400</v>
      </c>
      <c r="L32" s="8" t="s">
        <v>52</v>
      </c>
      <c r="M32" s="30"/>
    </row>
    <row r="33" spans="1:13">
      <c r="A33" s="5">
        <v>31000</v>
      </c>
      <c r="B33" s="5" t="s">
        <v>159</v>
      </c>
      <c r="C33" s="8" t="s">
        <v>54</v>
      </c>
      <c r="D33" s="21">
        <v>189</v>
      </c>
      <c r="E33" s="9" t="s">
        <v>13</v>
      </c>
      <c r="F33" s="179"/>
      <c r="G33" s="179"/>
      <c r="H33" s="179">
        <f>12.84</f>
        <v>12.84</v>
      </c>
      <c r="I33" s="179"/>
      <c r="J33" s="179"/>
      <c r="K33" s="180">
        <f>D33*SUM(F33:I33)+J33</f>
        <v>2426.7599999999998</v>
      </c>
      <c r="L33" s="8" t="s">
        <v>48</v>
      </c>
      <c r="M33" s="30"/>
    </row>
    <row r="34" spans="1:13">
      <c r="A34" s="5">
        <v>31000</v>
      </c>
      <c r="B34" s="5" t="s">
        <v>181</v>
      </c>
      <c r="C34" s="8" t="s">
        <v>56</v>
      </c>
      <c r="D34" s="12">
        <v>1</v>
      </c>
      <c r="E34" s="9" t="s">
        <v>13</v>
      </c>
      <c r="F34" s="179">
        <v>500</v>
      </c>
      <c r="G34" s="179"/>
      <c r="H34" s="179"/>
      <c r="I34" s="179">
        <v>2500</v>
      </c>
      <c r="J34" s="179"/>
      <c r="K34" s="180">
        <f>D34*SUM(F34:I34)+J34</f>
        <v>3000</v>
      </c>
      <c r="L34" s="8" t="s">
        <v>48</v>
      </c>
      <c r="M34" s="30"/>
    </row>
    <row r="35" spans="1:13">
      <c r="A35" s="5">
        <v>31000</v>
      </c>
      <c r="B35" s="67" t="s">
        <v>182</v>
      </c>
      <c r="C35" s="8" t="s">
        <v>184</v>
      </c>
      <c r="D35" s="12">
        <v>1</v>
      </c>
      <c r="E35" s="9" t="s">
        <v>13</v>
      </c>
      <c r="F35" s="179">
        <f>G35/10</f>
        <v>5572</v>
      </c>
      <c r="G35" s="179">
        <v>55720</v>
      </c>
      <c r="H35" s="179"/>
      <c r="I35" s="179"/>
      <c r="J35" s="179"/>
      <c r="K35" s="180">
        <f>D35*SUM(F35:I35)+J35</f>
        <v>61292</v>
      </c>
      <c r="L35" s="8" t="s">
        <v>48</v>
      </c>
      <c r="M35" s="30"/>
    </row>
    <row r="36" spans="1:13" ht="15.75" thickBot="1">
      <c r="A36" s="5">
        <v>31000</v>
      </c>
      <c r="B36" s="192" t="s">
        <v>186</v>
      </c>
      <c r="C36" s="68" t="s">
        <v>185</v>
      </c>
      <c r="D36" s="69">
        <v>11</v>
      </c>
      <c r="E36" s="70" t="s">
        <v>13</v>
      </c>
      <c r="F36" s="179">
        <f>G36/10</f>
        <v>500</v>
      </c>
      <c r="G36" s="179">
        <v>5000</v>
      </c>
      <c r="H36" s="189"/>
      <c r="I36" s="189"/>
      <c r="J36" s="189"/>
      <c r="K36" s="180">
        <f>D36*SUM(F36:I36)+J36</f>
        <v>60500</v>
      </c>
      <c r="L36" s="68" t="s">
        <v>48</v>
      </c>
      <c r="M36" s="30"/>
    </row>
    <row r="37" spans="1:13" ht="15.75" thickBot="1">
      <c r="F37" s="182">
        <f>K32+F34+F35+F36*D36</f>
        <v>15972</v>
      </c>
      <c r="G37" s="183"/>
      <c r="H37" s="183"/>
      <c r="I37" s="183"/>
      <c r="J37" s="184" t="s">
        <v>57</v>
      </c>
      <c r="K37" s="194">
        <f>SUM(K29:K36)</f>
        <v>165088.76</v>
      </c>
      <c r="M37" s="30"/>
    </row>
    <row r="38" spans="1:13">
      <c r="F38" s="183"/>
      <c r="G38" s="183"/>
      <c r="H38" s="183"/>
      <c r="I38" s="183"/>
      <c r="J38" s="184"/>
      <c r="K38" s="190"/>
      <c r="M38" s="30"/>
    </row>
    <row r="39" spans="1:13">
      <c r="A39" s="196" t="s">
        <v>59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30"/>
    </row>
    <row r="40" spans="1:13" ht="30">
      <c r="A40" s="5" t="s">
        <v>1</v>
      </c>
      <c r="B40" s="5" t="s">
        <v>2</v>
      </c>
      <c r="C40" s="5"/>
      <c r="D40" s="13" t="s">
        <v>3</v>
      </c>
      <c r="E40" s="5" t="s">
        <v>4</v>
      </c>
      <c r="F40" s="7" t="s">
        <v>83</v>
      </c>
      <c r="G40" s="7" t="s">
        <v>5</v>
      </c>
      <c r="H40" s="7" t="s">
        <v>6</v>
      </c>
      <c r="I40" s="6" t="s">
        <v>7</v>
      </c>
      <c r="J40" s="6" t="s">
        <v>8</v>
      </c>
      <c r="K40" s="22" t="s">
        <v>9</v>
      </c>
      <c r="L40" s="5" t="s">
        <v>10</v>
      </c>
      <c r="M40" s="30"/>
    </row>
    <row r="41" spans="1:13" ht="15.75" thickBot="1">
      <c r="A41" s="5"/>
      <c r="B41" s="5" t="s">
        <v>290</v>
      </c>
      <c r="C41" s="8" t="s">
        <v>275</v>
      </c>
      <c r="D41" s="12">
        <v>1</v>
      </c>
      <c r="E41" s="9" t="s">
        <v>16</v>
      </c>
      <c r="F41" s="10">
        <v>0</v>
      </c>
      <c r="G41" s="10">
        <v>0</v>
      </c>
      <c r="H41" s="10"/>
      <c r="I41" s="10">
        <v>0</v>
      </c>
      <c r="J41" s="10"/>
      <c r="K41" s="23">
        <f>ROUNDUP(D41*SUM(F41:J41),-1)</f>
        <v>0</v>
      </c>
      <c r="L41" s="8" t="s">
        <v>174</v>
      </c>
      <c r="M41" s="30"/>
    </row>
    <row r="42" spans="1:13" ht="15.75" thickBot="1">
      <c r="C42" s="53"/>
      <c r="J42" s="4" t="s">
        <v>61</v>
      </c>
      <c r="K42" s="26">
        <f>SUM(K41:K41)</f>
        <v>0</v>
      </c>
      <c r="M42" s="30"/>
    </row>
    <row r="43" spans="1:13">
      <c r="J43" s="4"/>
      <c r="K43" s="27"/>
      <c r="M43" s="30"/>
    </row>
    <row r="44" spans="1:13">
      <c r="J44" s="4" t="s">
        <v>176</v>
      </c>
      <c r="K44" s="191">
        <f>ROUNDUP(SUM(K42,K37,K25,K17,K10),-1)</f>
        <v>264690</v>
      </c>
      <c r="M44" s="30"/>
    </row>
    <row r="45" spans="1:13">
      <c r="J45" s="4" t="s">
        <v>178</v>
      </c>
      <c r="K45" s="191">
        <f>K44-K42</f>
        <v>264690</v>
      </c>
      <c r="M45" s="30"/>
    </row>
    <row r="46" spans="1:13">
      <c r="J46" s="4" t="s">
        <v>179</v>
      </c>
      <c r="K46" s="191">
        <f>ROUNDUP(SUM(K10,D15*F15,D23*F23,D32*F32,D34*F34,D41*F41,D35*F35),-1)+F36*D36</f>
        <v>55840</v>
      </c>
      <c r="L46" s="3"/>
      <c r="M46" s="30"/>
    </row>
    <row r="47" spans="1:13">
      <c r="J47" s="4" t="s">
        <v>180</v>
      </c>
      <c r="K47" s="191">
        <f>K44-K46</f>
        <v>208850</v>
      </c>
      <c r="M47" s="30"/>
    </row>
    <row r="48" spans="1:13" ht="36" customHeight="1">
      <c r="A48" s="197" t="s">
        <v>270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30"/>
    </row>
    <row r="49" spans="2:13" ht="15" customHeight="1">
      <c r="B49" s="195" t="s">
        <v>123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30"/>
    </row>
    <row r="50" spans="2:13" ht="15" customHeight="1">
      <c r="B50" s="195" t="s">
        <v>124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30"/>
    </row>
    <row r="51" spans="2:13" ht="15" customHeight="1">
      <c r="B51" s="195" t="s">
        <v>107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30"/>
    </row>
    <row r="52" spans="2:13" ht="15" customHeight="1">
      <c r="B52" s="195" t="s">
        <v>125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30"/>
    </row>
    <row r="53" spans="2:13" ht="15" customHeight="1">
      <c r="B53" s="195" t="s">
        <v>273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30"/>
    </row>
    <row r="54" spans="2:13" ht="29.65" customHeight="1">
      <c r="B54" s="195" t="s">
        <v>274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30"/>
    </row>
    <row r="55" spans="2:13" ht="15" customHeight="1">
      <c r="B55" s="195" t="s">
        <v>276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30"/>
    </row>
    <row r="56" spans="2:13">
      <c r="B56" s="29" t="s">
        <v>277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</row>
    <row r="57" spans="2:13" ht="15" customHeight="1">
      <c r="B57" s="195" t="s">
        <v>278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30"/>
    </row>
    <row r="58" spans="2:13" ht="15" customHeight="1">
      <c r="B58" s="195" t="s">
        <v>279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30"/>
    </row>
    <row r="59" spans="2:13" ht="15" customHeight="1">
      <c r="B59" s="195" t="s">
        <v>280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30"/>
    </row>
    <row r="60" spans="2:13" ht="15" customHeight="1">
      <c r="B60" s="195" t="s">
        <v>281</v>
      </c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30"/>
    </row>
    <row r="61" spans="2:13" ht="15" customHeight="1">
      <c r="B61" s="195" t="s">
        <v>282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30"/>
    </row>
    <row r="62" spans="2:13" ht="15" customHeight="1">
      <c r="B62" s="195" t="s">
        <v>283</v>
      </c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30"/>
    </row>
    <row r="63" spans="2:13" ht="15" customHeight="1">
      <c r="B63" s="195" t="s">
        <v>284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30"/>
    </row>
    <row r="64" spans="2:13" ht="15" customHeight="1">
      <c r="B64" s="195" t="s">
        <v>285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30"/>
    </row>
    <row r="65" spans="1:13" ht="15" customHeight="1">
      <c r="B65" s="195" t="s">
        <v>286</v>
      </c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30"/>
    </row>
    <row r="66" spans="1:13" ht="15" customHeight="1">
      <c r="B66" s="195" t="s">
        <v>287</v>
      </c>
      <c r="C66" s="195"/>
      <c r="D66" s="195"/>
      <c r="E66" s="195"/>
      <c r="F66" s="195"/>
      <c r="G66" s="195"/>
      <c r="H66" s="195"/>
      <c r="I66" s="195"/>
      <c r="J66" s="195"/>
      <c r="K66" s="195"/>
      <c r="L66" s="195"/>
    </row>
    <row r="67" spans="1:13" ht="15" customHeight="1">
      <c r="B67" s="195" t="s">
        <v>288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</row>
    <row r="68" spans="1:13" s="51" customFormat="1" ht="15" customHeight="1">
      <c r="A68" s="29"/>
      <c r="B68" s="195" t="s">
        <v>289</v>
      </c>
      <c r="C68" s="195"/>
      <c r="D68" s="195"/>
      <c r="E68" s="195"/>
      <c r="F68" s="195"/>
      <c r="G68" s="195"/>
      <c r="H68" s="195"/>
      <c r="I68" s="195"/>
      <c r="J68" s="195"/>
      <c r="K68" s="195"/>
      <c r="L68" s="195"/>
    </row>
    <row r="69" spans="1:13" ht="15" customHeight="1">
      <c r="B69" s="195" t="s">
        <v>291</v>
      </c>
      <c r="C69" s="195"/>
      <c r="D69" s="195"/>
      <c r="E69" s="195"/>
      <c r="F69" s="195"/>
      <c r="G69" s="195"/>
      <c r="H69" s="195"/>
      <c r="I69" s="195"/>
      <c r="J69" s="195"/>
      <c r="K69" s="195"/>
      <c r="L69" s="195"/>
    </row>
  </sheetData>
  <sheetProtection algorithmName="SHA-512" hashValue="wP6pz8rR2AaV49pVz5lkNW+7hW7Eb3SsNTWSPegRhNSseAq/uN0KRQWaIFg8bxJMxuYXzha+a764PqckY3SMnQ==" saltValue="m7jKsW6GT8cwosHjYpy6cQ==" spinCount="100000" sheet="1" selectLockedCells="1" selectUnlockedCells="1"/>
  <printOptions horizontalCentered="1"/>
  <pageMargins left="0.7" right="0.7" top="0.75" bottom="0.75" header="0.3" footer="0.3"/>
  <pageSetup scale="80" fitToHeight="0" orientation="landscape" r:id="rId1"/>
  <rowBreaks count="1" manualBreakCount="1">
    <brk id="37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822E-3C33-4040-BDC8-1B4C7CC4DA99}">
  <dimension ref="A1:R44"/>
  <sheetViews>
    <sheetView topLeftCell="H1" workbookViewId="0">
      <selection sqref="A1:G1048576"/>
    </sheetView>
  </sheetViews>
  <sheetFormatPr defaultRowHeight="15"/>
  <cols>
    <col min="1" max="1" width="23.140625" hidden="1" customWidth="1"/>
    <col min="2" max="2" width="7" hidden="1" customWidth="1"/>
    <col min="3" max="3" width="4.42578125" hidden="1" customWidth="1"/>
    <col min="4" max="4" width="0" hidden="1" customWidth="1"/>
    <col min="5" max="5" width="14.28515625" hidden="1" customWidth="1"/>
    <col min="6" max="6" width="17.7109375" hidden="1" customWidth="1"/>
    <col min="7" max="7" width="27.85546875" hidden="1" customWidth="1"/>
    <col min="8" max="8" width="15.28515625" bestFit="1" customWidth="1"/>
    <col min="9" max="9" width="11.5703125" bestFit="1" customWidth="1"/>
    <col min="10" max="10" width="10.7109375" customWidth="1"/>
    <col min="12" max="12" width="13.28515625" bestFit="1" customWidth="1"/>
    <col min="13" max="13" width="6.85546875" customWidth="1"/>
    <col min="14" max="14" width="4.42578125" bestFit="1" customWidth="1"/>
    <col min="15" max="15" width="13.7109375" bestFit="1" customWidth="1"/>
    <col min="16" max="16" width="12.5703125" bestFit="1" customWidth="1"/>
    <col min="17" max="17" width="21.5703125" customWidth="1"/>
  </cols>
  <sheetData>
    <row r="1" spans="1:18">
      <c r="A1" s="29" t="s">
        <v>33</v>
      </c>
      <c r="B1" s="29" t="s">
        <v>34</v>
      </c>
      <c r="C1" s="29" t="s">
        <v>35</v>
      </c>
      <c r="D1" s="14" t="s">
        <v>36</v>
      </c>
      <c r="E1" s="14" t="s">
        <v>37</v>
      </c>
      <c r="F1" s="29" t="s">
        <v>108</v>
      </c>
      <c r="G1" s="14" t="s">
        <v>109</v>
      </c>
      <c r="H1" s="14"/>
    </row>
    <row r="2" spans="1:18">
      <c r="L2" s="29"/>
      <c r="M2" s="29"/>
      <c r="N2" s="29"/>
      <c r="O2" s="14"/>
      <c r="P2" s="14"/>
      <c r="Q2" s="29"/>
      <c r="R2" s="14"/>
    </row>
    <row r="3" spans="1:18">
      <c r="A3" s="60" t="s">
        <v>158</v>
      </c>
      <c r="B3" s="61"/>
      <c r="C3" s="61"/>
      <c r="E3" s="62"/>
      <c r="H3" s="3"/>
      <c r="L3" s="29"/>
      <c r="M3" s="50"/>
      <c r="N3" s="50"/>
      <c r="O3" s="14"/>
      <c r="P3" s="3"/>
      <c r="R3" s="14"/>
    </row>
    <row r="4" spans="1:18">
      <c r="A4" s="63" t="s">
        <v>134</v>
      </c>
      <c r="B4" s="64">
        <v>84</v>
      </c>
      <c r="C4" s="64">
        <v>8</v>
      </c>
      <c r="D4" s="14">
        <v>50</v>
      </c>
      <c r="E4" s="62">
        <f t="shared" ref="E4:E13" si="0">D4*B4</f>
        <v>4200</v>
      </c>
      <c r="F4" t="s">
        <v>137</v>
      </c>
      <c r="G4" t="s">
        <v>111</v>
      </c>
      <c r="H4" s="3"/>
      <c r="L4" s="29"/>
      <c r="M4" s="50"/>
      <c r="N4" s="50"/>
      <c r="O4" s="14"/>
      <c r="P4" s="3"/>
      <c r="R4" s="14"/>
    </row>
    <row r="5" spans="1:18">
      <c r="A5" s="63" t="s">
        <v>135</v>
      </c>
      <c r="B5" s="64">
        <v>210</v>
      </c>
      <c r="C5" s="64">
        <v>8</v>
      </c>
      <c r="D5" s="14">
        <v>50</v>
      </c>
      <c r="E5" s="62">
        <f t="shared" si="0"/>
        <v>10500</v>
      </c>
      <c r="F5" t="s">
        <v>137</v>
      </c>
      <c r="G5" t="s">
        <v>111</v>
      </c>
      <c r="H5" s="3"/>
      <c r="L5" s="29"/>
      <c r="M5" s="50"/>
      <c r="N5" s="50"/>
      <c r="O5" s="14"/>
      <c r="P5" s="3"/>
      <c r="R5" s="14"/>
    </row>
    <row r="6" spans="1:18">
      <c r="A6" s="63" t="s">
        <v>127</v>
      </c>
      <c r="B6" s="64">
        <v>256</v>
      </c>
      <c r="C6" s="64">
        <v>8</v>
      </c>
      <c r="D6" s="14">
        <v>50</v>
      </c>
      <c r="E6" s="62">
        <f t="shared" si="0"/>
        <v>12800</v>
      </c>
      <c r="F6" t="s">
        <v>126</v>
      </c>
      <c r="G6" t="s">
        <v>111</v>
      </c>
      <c r="H6" s="3"/>
      <c r="L6" s="29"/>
      <c r="M6" s="50"/>
      <c r="N6" s="50"/>
      <c r="O6" s="14"/>
      <c r="P6" s="3"/>
      <c r="R6" s="14"/>
    </row>
    <row r="7" spans="1:18">
      <c r="A7" s="63" t="s">
        <v>128</v>
      </c>
      <c r="B7" s="64">
        <v>181</v>
      </c>
      <c r="C7" s="64">
        <v>8</v>
      </c>
      <c r="D7" s="14">
        <v>50</v>
      </c>
      <c r="E7" s="62">
        <f t="shared" si="0"/>
        <v>9050</v>
      </c>
      <c r="F7" t="s">
        <v>126</v>
      </c>
      <c r="G7" t="s">
        <v>111</v>
      </c>
      <c r="H7" s="3"/>
      <c r="L7" s="29"/>
      <c r="M7" s="50"/>
      <c r="N7" s="50"/>
      <c r="O7" s="14"/>
      <c r="P7" s="3"/>
      <c r="R7" s="14"/>
    </row>
    <row r="8" spans="1:18">
      <c r="A8" s="63" t="s">
        <v>129</v>
      </c>
      <c r="B8" s="64">
        <v>141</v>
      </c>
      <c r="C8" s="64">
        <v>8</v>
      </c>
      <c r="D8" s="14">
        <v>50</v>
      </c>
      <c r="E8" s="62">
        <f t="shared" si="0"/>
        <v>7050</v>
      </c>
      <c r="F8" t="s">
        <v>126</v>
      </c>
      <c r="G8" t="s">
        <v>138</v>
      </c>
      <c r="L8" s="29"/>
      <c r="M8" s="50"/>
      <c r="N8" s="50"/>
      <c r="O8" s="14"/>
      <c r="P8" s="3"/>
      <c r="R8" s="14"/>
    </row>
    <row r="9" spans="1:18">
      <c r="A9" s="63" t="s">
        <v>130</v>
      </c>
      <c r="B9" s="64">
        <v>245</v>
      </c>
      <c r="C9" s="64">
        <v>8</v>
      </c>
      <c r="D9" s="14">
        <v>50</v>
      </c>
      <c r="E9" s="62">
        <f t="shared" si="0"/>
        <v>12250</v>
      </c>
      <c r="F9" t="s">
        <v>126</v>
      </c>
      <c r="G9" t="s">
        <v>111</v>
      </c>
      <c r="L9" s="29"/>
      <c r="M9" s="50"/>
      <c r="N9" s="50"/>
      <c r="O9" s="14"/>
      <c r="P9" s="3"/>
      <c r="R9" s="14"/>
    </row>
    <row r="10" spans="1:18">
      <c r="A10" s="63" t="s">
        <v>136</v>
      </c>
      <c r="B10" s="64">
        <v>266</v>
      </c>
      <c r="C10" s="64">
        <v>8</v>
      </c>
      <c r="D10" s="14">
        <v>50</v>
      </c>
      <c r="E10" s="62">
        <f t="shared" si="0"/>
        <v>13300</v>
      </c>
      <c r="F10" t="s">
        <v>126</v>
      </c>
      <c r="G10" t="s">
        <v>139</v>
      </c>
      <c r="L10" s="29"/>
      <c r="M10" s="50"/>
      <c r="N10" s="50"/>
      <c r="O10" s="14"/>
      <c r="P10" s="3"/>
      <c r="R10" s="51"/>
    </row>
    <row r="11" spans="1:18">
      <c r="A11" s="63" t="s">
        <v>131</v>
      </c>
      <c r="B11" s="64">
        <v>126</v>
      </c>
      <c r="C11" s="64">
        <v>8</v>
      </c>
      <c r="D11" s="14">
        <v>50</v>
      </c>
      <c r="E11" s="62">
        <f t="shared" si="0"/>
        <v>6300</v>
      </c>
      <c r="F11" t="s">
        <v>126</v>
      </c>
      <c r="G11" t="s">
        <v>112</v>
      </c>
      <c r="L11" s="29"/>
      <c r="M11" s="50"/>
      <c r="N11" s="50"/>
      <c r="O11" s="14"/>
      <c r="P11" s="3"/>
      <c r="R11" s="51"/>
    </row>
    <row r="12" spans="1:18">
      <c r="A12" s="63" t="s">
        <v>132</v>
      </c>
      <c r="B12" s="64">
        <v>350</v>
      </c>
      <c r="C12" s="64">
        <v>8</v>
      </c>
      <c r="D12" s="14">
        <v>50</v>
      </c>
      <c r="E12" s="62">
        <f t="shared" si="0"/>
        <v>17500</v>
      </c>
      <c r="F12" t="s">
        <v>137</v>
      </c>
      <c r="G12" t="s">
        <v>140</v>
      </c>
      <c r="O12" s="3"/>
      <c r="P12" s="3"/>
      <c r="R12" s="14"/>
    </row>
    <row r="13" spans="1:18">
      <c r="A13" s="63" t="s">
        <v>133</v>
      </c>
      <c r="B13" s="64">
        <v>125</v>
      </c>
      <c r="C13" s="64">
        <v>8</v>
      </c>
      <c r="D13" s="14">
        <v>50</v>
      </c>
      <c r="E13" s="62">
        <f t="shared" si="0"/>
        <v>6250</v>
      </c>
      <c r="F13" t="s">
        <v>137</v>
      </c>
      <c r="G13" t="s">
        <v>141</v>
      </c>
      <c r="O13" s="31"/>
      <c r="P13" s="3"/>
      <c r="R13" s="31"/>
    </row>
    <row r="14" spans="1:18">
      <c r="B14" s="65">
        <f>SUM(B4:B13)</f>
        <v>1984</v>
      </c>
      <c r="D14" s="31" t="s">
        <v>38</v>
      </c>
      <c r="E14" s="62">
        <f>SUM(E4:E13)</f>
        <v>99200</v>
      </c>
      <c r="I14" s="3"/>
      <c r="O14" s="31"/>
      <c r="P14" s="32"/>
      <c r="R14" s="31"/>
    </row>
    <row r="15" spans="1:18">
      <c r="D15" s="31" t="s">
        <v>62</v>
      </c>
      <c r="E15" s="32">
        <v>0.1</v>
      </c>
      <c r="O15" s="31"/>
      <c r="P15" s="3"/>
      <c r="R15" s="31"/>
    </row>
    <row r="16" spans="1:18">
      <c r="D16" s="31" t="s">
        <v>63</v>
      </c>
      <c r="E16" s="3">
        <f>E14*(1+2*E15)</f>
        <v>119040</v>
      </c>
      <c r="F16" s="66" t="s">
        <v>142</v>
      </c>
      <c r="I16" s="3"/>
    </row>
    <row r="17" spans="1:12">
      <c r="D17" s="3"/>
      <c r="E17" s="3"/>
      <c r="F17" s="58"/>
    </row>
    <row r="18" spans="1:12">
      <c r="A18" t="s">
        <v>113</v>
      </c>
    </row>
    <row r="19" spans="1:12">
      <c r="A19" t="s">
        <v>116</v>
      </c>
    </row>
    <row r="20" spans="1:12">
      <c r="A20" t="s">
        <v>115</v>
      </c>
    </row>
    <row r="21" spans="1:12">
      <c r="A21" t="s">
        <v>120</v>
      </c>
    </row>
    <row r="22" spans="1:12">
      <c r="A22" t="s">
        <v>118</v>
      </c>
    </row>
    <row r="23" spans="1:12">
      <c r="A23" t="s">
        <v>119</v>
      </c>
    </row>
    <row r="24" spans="1:12">
      <c r="A24" t="s">
        <v>117</v>
      </c>
    </row>
    <row r="25" spans="1:12">
      <c r="A25" t="s">
        <v>114</v>
      </c>
    </row>
    <row r="26" spans="1:12">
      <c r="A26" t="s">
        <v>121</v>
      </c>
    </row>
    <row r="27" spans="1:12">
      <c r="A27" t="s">
        <v>122</v>
      </c>
    </row>
    <row r="31" spans="1:12">
      <c r="E31" s="3"/>
      <c r="F31" s="3"/>
    </row>
    <row r="32" spans="1:12">
      <c r="A32" s="35"/>
      <c r="B32" s="36"/>
      <c r="C32" s="37"/>
      <c r="D32" s="37"/>
      <c r="E32" s="38"/>
      <c r="F32" s="38"/>
      <c r="G32" s="39"/>
      <c r="H32" s="40"/>
      <c r="I32" s="37"/>
      <c r="J32" s="40"/>
      <c r="K32" s="39"/>
      <c r="L32" s="39"/>
    </row>
    <row r="33" spans="1:12">
      <c r="A33" s="41"/>
      <c r="B33" s="36"/>
      <c r="C33" s="37"/>
      <c r="D33" s="37"/>
      <c r="E33" s="38"/>
      <c r="F33" s="37"/>
      <c r="G33" s="42"/>
      <c r="H33" s="39"/>
      <c r="I33" s="42"/>
      <c r="J33" s="39"/>
      <c r="K33" s="42"/>
      <c r="L33" s="39"/>
    </row>
    <row r="34" spans="1:12">
      <c r="A34" s="35"/>
      <c r="B34" s="43"/>
      <c r="C34" s="37"/>
      <c r="D34" s="37"/>
      <c r="E34" s="38"/>
      <c r="F34" s="37"/>
      <c r="G34" s="44"/>
      <c r="H34" s="39"/>
      <c r="I34" s="44"/>
      <c r="J34" s="39"/>
      <c r="K34" s="44"/>
      <c r="L34" s="39"/>
    </row>
    <row r="35" spans="1:12">
      <c r="A35" s="35"/>
      <c r="B35" s="43"/>
      <c r="C35" s="37"/>
      <c r="D35" s="37"/>
      <c r="E35" s="38"/>
      <c r="F35" s="37"/>
      <c r="G35" s="44"/>
      <c r="H35" s="39"/>
      <c r="I35" s="44"/>
      <c r="J35" s="39"/>
      <c r="K35" s="44"/>
      <c r="L35" s="39"/>
    </row>
    <row r="36" spans="1:12">
      <c r="A36" s="35"/>
      <c r="B36" s="43"/>
      <c r="C36" s="37"/>
      <c r="D36" s="37"/>
      <c r="E36" s="38"/>
      <c r="F36" s="37"/>
      <c r="G36" s="44"/>
      <c r="H36" s="39"/>
      <c r="I36" s="44"/>
      <c r="J36" s="39"/>
      <c r="K36" s="44"/>
      <c r="L36" s="39"/>
    </row>
    <row r="37" spans="1:12">
      <c r="A37" s="35"/>
      <c r="B37" s="43"/>
      <c r="C37" s="37"/>
      <c r="D37" s="37"/>
      <c r="E37" s="38"/>
      <c r="F37" s="37"/>
      <c r="G37" s="44"/>
      <c r="H37" s="39"/>
      <c r="I37" s="44"/>
      <c r="J37" s="39"/>
      <c r="K37" s="44"/>
      <c r="L37" s="39"/>
    </row>
    <row r="38" spans="1:12">
      <c r="A38" s="35"/>
      <c r="B38" s="43"/>
      <c r="C38" s="37"/>
      <c r="D38" s="37"/>
      <c r="E38" s="38"/>
      <c r="F38" s="37"/>
      <c r="G38" s="44"/>
      <c r="H38" s="39"/>
      <c r="I38" s="44"/>
      <c r="J38" s="39"/>
      <c r="K38" s="44"/>
      <c r="L38" s="39"/>
    </row>
    <row r="39" spans="1:12">
      <c r="A39" s="35"/>
      <c r="B39" s="43"/>
      <c r="C39" s="37"/>
      <c r="D39" s="37"/>
      <c r="E39" s="38"/>
      <c r="F39" s="37"/>
      <c r="G39" s="44"/>
      <c r="H39" s="39"/>
      <c r="I39" s="44"/>
      <c r="J39" s="39"/>
      <c r="K39" s="44"/>
      <c r="L39" s="39"/>
    </row>
    <row r="40" spans="1:12">
      <c r="A40" s="35"/>
      <c r="B40" s="43"/>
      <c r="C40" s="37"/>
      <c r="D40" s="37"/>
      <c r="E40" s="38"/>
      <c r="F40" s="37"/>
      <c r="G40" s="44"/>
      <c r="H40" s="39"/>
      <c r="I40" s="44"/>
      <c r="J40" s="39"/>
      <c r="K40" s="44"/>
      <c r="L40" s="39"/>
    </row>
    <row r="41" spans="1:12">
      <c r="A41" s="37"/>
      <c r="B41" s="45"/>
      <c r="C41" s="39"/>
      <c r="D41" s="37"/>
      <c r="E41" s="46"/>
      <c r="F41" s="37"/>
      <c r="G41" s="47"/>
      <c r="H41" s="48"/>
      <c r="I41" s="47"/>
      <c r="J41" s="48"/>
      <c r="K41" s="47"/>
      <c r="L41" s="48"/>
    </row>
    <row r="42" spans="1:12">
      <c r="A42" s="37"/>
      <c r="B42" s="38"/>
      <c r="C42" s="39"/>
      <c r="D42" s="37"/>
      <c r="E42" s="46"/>
      <c r="F42" s="37"/>
      <c r="G42" s="39"/>
      <c r="H42" s="49"/>
      <c r="I42" s="39"/>
      <c r="J42" s="49"/>
      <c r="K42" s="39"/>
      <c r="L42" s="39"/>
    </row>
    <row r="43" spans="1:12">
      <c r="D43" s="33"/>
      <c r="E43" s="3"/>
      <c r="F43" s="3"/>
    </row>
    <row r="44" spans="1:12">
      <c r="D44" s="33"/>
      <c r="E44" s="3"/>
      <c r="F44" s="3"/>
      <c r="H44" s="34"/>
      <c r="J44" s="34"/>
      <c r="L44" s="34"/>
    </row>
  </sheetData>
  <sheetProtection algorithmName="SHA-512" hashValue="/JY5poIFl/uFZgfw7xb2VZsKiJSf5xwDVhIw4my4uZtbTA096CyWAlRJpE6XMmEahfji41SdCV7UZYrw2h37Iw==" saltValue="vQDJgu566aq4AL/RNKgEmA==" spinCount="100000" sheet="1" objects="1" scenarios="1" selectLockedCells="1" selectUnlockedCells="1"/>
  <protectedRanges>
    <protectedRange algorithmName="SHA-512" hashValue="E9tLfPJEZ/5KbTB6tqtzIpkA4vAtDa4ERDHYMYM+H0r/5iRT/KcMWQKEVCTbHeT2u+Qh8CLt+psMEpfm2/TgdQ==" saltValue="NWSZ0RWFo+hdoUr2V/ac9A==" spinCount="100000" sqref="G32:G42 I32:I42 K32:K42" name="Range1_8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4181-6FFB-4758-9C03-EB90CD5AB9B1}">
  <dimension ref="A1:W41"/>
  <sheetViews>
    <sheetView topLeftCell="X16" workbookViewId="0">
      <selection activeCell="AB43" sqref="AB43"/>
    </sheetView>
  </sheetViews>
  <sheetFormatPr defaultRowHeight="15"/>
  <cols>
    <col min="1" max="1" width="9.28515625" bestFit="1" customWidth="1"/>
    <col min="2" max="2" width="10.7109375" bestFit="1" customWidth="1"/>
    <col min="4" max="4" width="9.140625" style="3"/>
    <col min="5" max="5" width="11.140625" style="3" customWidth="1"/>
    <col min="7" max="7" width="10.42578125" bestFit="1" customWidth="1"/>
    <col min="8" max="8" width="0" hidden="1" customWidth="1"/>
    <col min="9" max="10" width="10.7109375" hidden="1" customWidth="1"/>
    <col min="11" max="11" width="11.7109375" hidden="1" customWidth="1"/>
    <col min="12" max="12" width="11.140625" hidden="1" customWidth="1"/>
    <col min="13" max="13" width="10.28515625" hidden="1" customWidth="1"/>
    <col min="14" max="15" width="0" hidden="1" customWidth="1"/>
    <col min="16" max="16" width="11.140625" hidden="1" customWidth="1"/>
    <col min="17" max="17" width="11.85546875" hidden="1" customWidth="1"/>
    <col min="18" max="21" width="0" hidden="1" customWidth="1"/>
    <col min="22" max="22" width="12.42578125" hidden="1" customWidth="1"/>
    <col min="23" max="23" width="0" hidden="1" customWidth="1"/>
  </cols>
  <sheetData>
    <row r="1" spans="1:23">
      <c r="A1" s="213" t="s">
        <v>88</v>
      </c>
      <c r="B1" s="214"/>
      <c r="C1" s="214"/>
      <c r="D1" s="214"/>
      <c r="E1" s="215"/>
      <c r="F1" s="213" t="s">
        <v>89</v>
      </c>
      <c r="G1" s="214"/>
      <c r="H1" s="214"/>
      <c r="I1" s="214"/>
      <c r="J1" s="215"/>
      <c r="K1" t="s">
        <v>95</v>
      </c>
      <c r="L1" s="213" t="s">
        <v>160</v>
      </c>
      <c r="M1" s="214"/>
      <c r="N1" s="214"/>
      <c r="O1" s="214"/>
      <c r="P1" s="215"/>
      <c r="R1" s="213" t="s">
        <v>161</v>
      </c>
      <c r="S1" s="214"/>
      <c r="T1" s="214"/>
      <c r="U1" s="214"/>
      <c r="V1" s="215"/>
    </row>
    <row r="2" spans="1:23">
      <c r="A2" s="15" t="s">
        <v>67</v>
      </c>
      <c r="B2" t="s">
        <v>68</v>
      </c>
      <c r="C2" t="s">
        <v>69</v>
      </c>
      <c r="D2" s="3" t="s">
        <v>37</v>
      </c>
      <c r="E2" s="16" t="s">
        <v>70</v>
      </c>
      <c r="F2" s="15" t="s">
        <v>67</v>
      </c>
      <c r="G2" t="s">
        <v>68</v>
      </c>
      <c r="H2" t="s">
        <v>69</v>
      </c>
      <c r="I2" s="3" t="s">
        <v>37</v>
      </c>
      <c r="J2" s="16" t="s">
        <v>70</v>
      </c>
      <c r="L2" s="15" t="s">
        <v>67</v>
      </c>
      <c r="M2" t="s">
        <v>68</v>
      </c>
      <c r="N2" t="s">
        <v>69</v>
      </c>
      <c r="O2" s="3" t="s">
        <v>37</v>
      </c>
      <c r="P2" s="16" t="s">
        <v>70</v>
      </c>
      <c r="R2" s="15" t="s">
        <v>67</v>
      </c>
      <c r="S2" t="s">
        <v>68</v>
      </c>
      <c r="T2" t="s">
        <v>69</v>
      </c>
      <c r="U2" s="3" t="s">
        <v>37</v>
      </c>
      <c r="V2" s="16" t="s">
        <v>70</v>
      </c>
    </row>
    <row r="3" spans="1:23">
      <c r="A3" s="15" t="s">
        <v>85</v>
      </c>
      <c r="B3" t="s">
        <v>71</v>
      </c>
      <c r="C3">
        <v>0</v>
      </c>
      <c r="D3" s="3">
        <v>115</v>
      </c>
      <c r="E3" s="16">
        <f>C3*D3</f>
        <v>0</v>
      </c>
      <c r="F3" s="15" t="s">
        <v>90</v>
      </c>
      <c r="G3" t="s">
        <v>71</v>
      </c>
      <c r="H3">
        <v>10</v>
      </c>
      <c r="I3" s="3">
        <v>115</v>
      </c>
      <c r="J3" s="16">
        <f>H3*I3</f>
        <v>1150</v>
      </c>
      <c r="K3" t="s">
        <v>94</v>
      </c>
      <c r="L3" s="15" t="s">
        <v>151</v>
      </c>
      <c r="M3" t="s">
        <v>71</v>
      </c>
      <c r="N3">
        <v>1</v>
      </c>
      <c r="O3" s="3">
        <v>115</v>
      </c>
      <c r="P3" s="16">
        <f>N3*O3</f>
        <v>115</v>
      </c>
      <c r="Q3" t="s">
        <v>156</v>
      </c>
      <c r="R3" s="15" t="s">
        <v>162</v>
      </c>
      <c r="S3" t="s">
        <v>71</v>
      </c>
      <c r="T3">
        <v>11.5</v>
      </c>
      <c r="U3" s="3">
        <v>115</v>
      </c>
      <c r="V3" s="16">
        <f>T3*U3</f>
        <v>1322.5</v>
      </c>
      <c r="W3" t="s">
        <v>166</v>
      </c>
    </row>
    <row r="4" spans="1:23">
      <c r="A4" s="15"/>
      <c r="B4" t="s">
        <v>72</v>
      </c>
      <c r="C4">
        <v>0</v>
      </c>
      <c r="D4" s="3">
        <v>150</v>
      </c>
      <c r="E4" s="16">
        <f t="shared" ref="E4:E5" si="0">C4*D4</f>
        <v>0</v>
      </c>
      <c r="F4" s="15"/>
      <c r="G4" t="s">
        <v>72</v>
      </c>
      <c r="H4">
        <v>1</v>
      </c>
      <c r="I4" s="3">
        <v>150</v>
      </c>
      <c r="J4" s="16">
        <f t="shared" ref="J4:J5" si="1">H4*I4</f>
        <v>150</v>
      </c>
      <c r="L4" s="15"/>
      <c r="M4" t="s">
        <v>72</v>
      </c>
      <c r="N4">
        <v>1</v>
      </c>
      <c r="O4" s="3">
        <v>150</v>
      </c>
      <c r="P4" s="16">
        <f t="shared" ref="P4:P5" si="2">N4*O4</f>
        <v>150</v>
      </c>
      <c r="R4" s="15"/>
      <c r="S4" t="s">
        <v>72</v>
      </c>
      <c r="T4">
        <v>2</v>
      </c>
      <c r="U4" s="3">
        <v>150</v>
      </c>
      <c r="V4" s="16">
        <f t="shared" ref="V4:V5" si="3">T4*U4</f>
        <v>300</v>
      </c>
    </row>
    <row r="5" spans="1:23">
      <c r="A5" s="15"/>
      <c r="B5" t="s">
        <v>73</v>
      </c>
      <c r="C5">
        <v>39</v>
      </c>
      <c r="D5" s="3">
        <v>15</v>
      </c>
      <c r="E5" s="16">
        <f t="shared" si="0"/>
        <v>585</v>
      </c>
      <c r="F5" s="15"/>
      <c r="G5" t="s">
        <v>73</v>
      </c>
      <c r="H5">
        <v>33</v>
      </c>
      <c r="I5" s="3">
        <v>15</v>
      </c>
      <c r="J5" s="16">
        <f t="shared" si="1"/>
        <v>495</v>
      </c>
      <c r="L5" s="15"/>
      <c r="M5" t="s">
        <v>73</v>
      </c>
      <c r="N5">
        <v>34</v>
      </c>
      <c r="O5" s="3">
        <v>15</v>
      </c>
      <c r="P5" s="16">
        <f t="shared" si="2"/>
        <v>510</v>
      </c>
      <c r="R5" s="15"/>
      <c r="S5" t="s">
        <v>73</v>
      </c>
      <c r="T5">
        <v>35</v>
      </c>
      <c r="U5" s="3">
        <v>15</v>
      </c>
      <c r="V5" s="16">
        <f t="shared" si="3"/>
        <v>525</v>
      </c>
    </row>
    <row r="6" spans="1:23">
      <c r="A6" s="15" t="s">
        <v>84</v>
      </c>
      <c r="B6" t="s">
        <v>71</v>
      </c>
      <c r="C6">
        <v>4</v>
      </c>
      <c r="D6" s="3">
        <v>115</v>
      </c>
      <c r="E6" s="16">
        <f>C6*D6</f>
        <v>460</v>
      </c>
      <c r="F6" s="15" t="s">
        <v>91</v>
      </c>
      <c r="G6" t="s">
        <v>71</v>
      </c>
      <c r="H6">
        <v>3.5</v>
      </c>
      <c r="I6" s="3">
        <v>115</v>
      </c>
      <c r="J6" s="16">
        <f>H6*I6</f>
        <v>402.5</v>
      </c>
      <c r="K6" t="s">
        <v>96</v>
      </c>
      <c r="L6" s="15" t="s">
        <v>152</v>
      </c>
      <c r="M6" t="s">
        <v>71</v>
      </c>
      <c r="N6">
        <v>0</v>
      </c>
      <c r="O6" s="3">
        <v>115</v>
      </c>
      <c r="P6" s="16">
        <f>N6*O6</f>
        <v>0</v>
      </c>
      <c r="Q6" t="s">
        <v>155</v>
      </c>
      <c r="R6" s="15" t="s">
        <v>163</v>
      </c>
      <c r="S6" t="s">
        <v>71</v>
      </c>
      <c r="U6" s="3">
        <v>115</v>
      </c>
      <c r="V6" s="16">
        <f>T6*U6</f>
        <v>0</v>
      </c>
    </row>
    <row r="7" spans="1:23">
      <c r="A7" s="15"/>
      <c r="B7" t="s">
        <v>72</v>
      </c>
      <c r="C7">
        <v>0</v>
      </c>
      <c r="D7" s="3">
        <v>150</v>
      </c>
      <c r="E7" s="16">
        <f t="shared" ref="E7:E8" si="4">C7*D7</f>
        <v>0</v>
      </c>
      <c r="F7" s="15"/>
      <c r="G7" t="s">
        <v>72</v>
      </c>
      <c r="H7">
        <v>0</v>
      </c>
      <c r="I7" s="3">
        <v>150</v>
      </c>
      <c r="J7" s="16">
        <f t="shared" ref="J7:J8" si="5">H7*I7</f>
        <v>0</v>
      </c>
      <c r="L7" s="15"/>
      <c r="M7" t="s">
        <v>72</v>
      </c>
      <c r="N7">
        <v>1</v>
      </c>
      <c r="O7" s="3">
        <v>150</v>
      </c>
      <c r="P7" s="16">
        <f t="shared" ref="P7:P14" si="6">N7*O7</f>
        <v>150</v>
      </c>
      <c r="R7" s="15"/>
      <c r="S7" t="s">
        <v>72</v>
      </c>
      <c r="U7" s="3">
        <v>150</v>
      </c>
      <c r="V7" s="16">
        <f t="shared" ref="V7:V14" si="7">T7*U7</f>
        <v>0</v>
      </c>
    </row>
    <row r="8" spans="1:23">
      <c r="A8" s="15"/>
      <c r="B8" t="s">
        <v>73</v>
      </c>
      <c r="C8">
        <v>9</v>
      </c>
      <c r="D8" s="3">
        <v>15</v>
      </c>
      <c r="E8" s="16">
        <f t="shared" si="4"/>
        <v>135</v>
      </c>
      <c r="F8" s="15"/>
      <c r="G8" t="s">
        <v>73</v>
      </c>
      <c r="H8">
        <v>46</v>
      </c>
      <c r="I8" s="3">
        <v>15</v>
      </c>
      <c r="J8" s="16">
        <f t="shared" si="5"/>
        <v>690</v>
      </c>
      <c r="L8" s="15"/>
      <c r="M8" t="s">
        <v>73</v>
      </c>
      <c r="N8">
        <v>37</v>
      </c>
      <c r="O8" s="3">
        <v>15</v>
      </c>
      <c r="P8" s="16">
        <f t="shared" si="6"/>
        <v>555</v>
      </c>
      <c r="R8" s="15"/>
      <c r="S8" t="s">
        <v>73</v>
      </c>
      <c r="U8" s="3">
        <v>15</v>
      </c>
      <c r="V8" s="16">
        <f t="shared" si="7"/>
        <v>0</v>
      </c>
    </row>
    <row r="9" spans="1:23">
      <c r="A9" s="15" t="s">
        <v>86</v>
      </c>
      <c r="B9" t="s">
        <v>71</v>
      </c>
      <c r="C9">
        <v>0</v>
      </c>
      <c r="D9" s="3">
        <v>115</v>
      </c>
      <c r="E9" s="16">
        <f>C9*D9</f>
        <v>0</v>
      </c>
      <c r="F9" s="15" t="s">
        <v>92</v>
      </c>
      <c r="G9" t="s">
        <v>71</v>
      </c>
      <c r="H9">
        <v>5.5</v>
      </c>
      <c r="I9" s="3">
        <v>115</v>
      </c>
      <c r="J9" s="16">
        <f>H9*I9</f>
        <v>632.5</v>
      </c>
      <c r="K9" t="s">
        <v>97</v>
      </c>
      <c r="L9" s="15" t="s">
        <v>153</v>
      </c>
      <c r="M9" t="s">
        <v>71</v>
      </c>
      <c r="N9">
        <v>2</v>
      </c>
      <c r="O9" s="3">
        <v>115</v>
      </c>
      <c r="P9" s="16">
        <f t="shared" si="6"/>
        <v>230</v>
      </c>
      <c r="Q9" t="s">
        <v>150</v>
      </c>
      <c r="R9" s="15" t="s">
        <v>164</v>
      </c>
      <c r="S9" t="s">
        <v>71</v>
      </c>
      <c r="T9">
        <v>50.5</v>
      </c>
      <c r="U9" s="3">
        <v>115</v>
      </c>
      <c r="V9" s="16">
        <f t="shared" si="7"/>
        <v>5807.5</v>
      </c>
      <c r="W9" t="s">
        <v>167</v>
      </c>
    </row>
    <row r="10" spans="1:23">
      <c r="A10" s="15"/>
      <c r="B10" t="s">
        <v>72</v>
      </c>
      <c r="C10">
        <v>0</v>
      </c>
      <c r="D10" s="3">
        <v>150</v>
      </c>
      <c r="E10" s="16">
        <f t="shared" ref="E10:E11" si="8">C10*D10</f>
        <v>0</v>
      </c>
      <c r="F10" s="15"/>
      <c r="G10" t="s">
        <v>72</v>
      </c>
      <c r="H10">
        <v>0</v>
      </c>
      <c r="I10" s="3">
        <v>150</v>
      </c>
      <c r="J10" s="16">
        <f t="shared" ref="J10:J11" si="9">H10*I10</f>
        <v>0</v>
      </c>
      <c r="L10" s="15"/>
      <c r="M10" t="s">
        <v>72</v>
      </c>
      <c r="N10">
        <v>2</v>
      </c>
      <c r="O10" s="3">
        <v>150</v>
      </c>
      <c r="P10" s="16">
        <f t="shared" si="6"/>
        <v>300</v>
      </c>
      <c r="R10" s="15"/>
      <c r="S10" t="s">
        <v>72</v>
      </c>
      <c r="U10" s="3">
        <v>150</v>
      </c>
      <c r="V10" s="16">
        <f t="shared" si="7"/>
        <v>0</v>
      </c>
    </row>
    <row r="11" spans="1:23">
      <c r="A11" s="15"/>
      <c r="B11" t="s">
        <v>73</v>
      </c>
      <c r="C11">
        <v>25</v>
      </c>
      <c r="D11" s="3">
        <v>15</v>
      </c>
      <c r="E11" s="16">
        <f t="shared" si="8"/>
        <v>375</v>
      </c>
      <c r="F11" s="15"/>
      <c r="G11" t="s">
        <v>73</v>
      </c>
      <c r="H11">
        <v>32</v>
      </c>
      <c r="I11" s="3">
        <v>15</v>
      </c>
      <c r="J11" s="16">
        <f t="shared" si="9"/>
        <v>480</v>
      </c>
      <c r="L11" s="15"/>
      <c r="M11" t="s">
        <v>73</v>
      </c>
      <c r="N11">
        <v>20</v>
      </c>
      <c r="O11" s="3">
        <v>15</v>
      </c>
      <c r="P11" s="16">
        <f t="shared" si="6"/>
        <v>300</v>
      </c>
      <c r="R11" s="15"/>
      <c r="S11" t="s">
        <v>73</v>
      </c>
      <c r="T11">
        <v>29</v>
      </c>
      <c r="U11" s="3">
        <v>15</v>
      </c>
      <c r="V11" s="16">
        <f t="shared" si="7"/>
        <v>435</v>
      </c>
    </row>
    <row r="12" spans="1:23">
      <c r="A12" s="15" t="s">
        <v>87</v>
      </c>
      <c r="B12" t="s">
        <v>71</v>
      </c>
      <c r="C12">
        <v>4</v>
      </c>
      <c r="D12" s="3">
        <v>115</v>
      </c>
      <c r="E12" s="16">
        <f>C12*D12</f>
        <v>460</v>
      </c>
      <c r="F12" s="15" t="s">
        <v>93</v>
      </c>
      <c r="G12" t="s">
        <v>71</v>
      </c>
      <c r="H12">
        <v>8</v>
      </c>
      <c r="I12" s="3">
        <v>125</v>
      </c>
      <c r="J12" s="16">
        <f>H12*I12</f>
        <v>1000</v>
      </c>
      <c r="K12" t="s">
        <v>98</v>
      </c>
      <c r="L12" s="15" t="s">
        <v>154</v>
      </c>
      <c r="M12" t="s">
        <v>71</v>
      </c>
      <c r="N12">
        <v>2</v>
      </c>
      <c r="O12" s="3">
        <v>138</v>
      </c>
      <c r="P12" s="16">
        <f t="shared" si="6"/>
        <v>276</v>
      </c>
      <c r="R12" s="15" t="s">
        <v>165</v>
      </c>
      <c r="S12" t="s">
        <v>71</v>
      </c>
      <c r="T12">
        <v>2</v>
      </c>
      <c r="U12" s="3">
        <v>145</v>
      </c>
      <c r="V12" s="16">
        <f t="shared" si="7"/>
        <v>290</v>
      </c>
      <c r="W12" t="s">
        <v>168</v>
      </c>
    </row>
    <row r="13" spans="1:23">
      <c r="A13" s="15"/>
      <c r="B13" t="s">
        <v>72</v>
      </c>
      <c r="C13">
        <v>2</v>
      </c>
      <c r="D13" s="3">
        <v>150</v>
      </c>
      <c r="E13" s="16">
        <f t="shared" ref="E13:E14" si="10">C13*D13</f>
        <v>300</v>
      </c>
      <c r="F13" s="15"/>
      <c r="G13" t="s">
        <v>72</v>
      </c>
      <c r="H13">
        <v>0</v>
      </c>
      <c r="I13" s="3">
        <v>160</v>
      </c>
      <c r="J13" s="16">
        <f t="shared" ref="J13:J14" si="11">H13*I13</f>
        <v>0</v>
      </c>
      <c r="L13" s="15"/>
      <c r="M13" t="s">
        <v>72</v>
      </c>
      <c r="N13">
        <v>4</v>
      </c>
      <c r="O13" s="3">
        <v>160</v>
      </c>
      <c r="P13" s="16">
        <f t="shared" si="6"/>
        <v>640</v>
      </c>
      <c r="R13" s="15"/>
      <c r="S13" t="s">
        <v>72</v>
      </c>
      <c r="U13" s="3">
        <v>185</v>
      </c>
      <c r="V13" s="16">
        <f t="shared" si="7"/>
        <v>0</v>
      </c>
    </row>
    <row r="14" spans="1:23">
      <c r="A14" s="15"/>
      <c r="B14" t="s">
        <v>73</v>
      </c>
      <c r="C14">
        <v>32</v>
      </c>
      <c r="D14" s="3">
        <v>15</v>
      </c>
      <c r="E14" s="16">
        <f t="shared" si="10"/>
        <v>480</v>
      </c>
      <c r="F14" s="15"/>
      <c r="G14" t="s">
        <v>73</v>
      </c>
      <c r="H14">
        <v>26</v>
      </c>
      <c r="I14" s="3">
        <v>20</v>
      </c>
      <c r="J14" s="16">
        <f t="shared" si="11"/>
        <v>520</v>
      </c>
      <c r="L14" s="15"/>
      <c r="M14" t="s">
        <v>73</v>
      </c>
      <c r="N14">
        <v>8</v>
      </c>
      <c r="O14" s="3">
        <v>20</v>
      </c>
      <c r="P14" s="16">
        <f t="shared" si="6"/>
        <v>160</v>
      </c>
      <c r="R14" s="15"/>
      <c r="S14" t="s">
        <v>73</v>
      </c>
      <c r="T14">
        <v>42</v>
      </c>
      <c r="U14" s="3">
        <v>26</v>
      </c>
      <c r="V14" s="16">
        <f t="shared" si="7"/>
        <v>1092</v>
      </c>
    </row>
    <row r="15" spans="1:23">
      <c r="A15" s="15" t="s">
        <v>74</v>
      </c>
      <c r="B15" t="s">
        <v>71</v>
      </c>
      <c r="C15">
        <f>16+0.25*10+7</f>
        <v>25.5</v>
      </c>
      <c r="D15" s="3">
        <v>115</v>
      </c>
      <c r="E15" s="16">
        <f>C15*D15</f>
        <v>2932.5</v>
      </c>
      <c r="F15" s="15" t="s">
        <v>74</v>
      </c>
      <c r="G15" t="s">
        <v>71</v>
      </c>
      <c r="H15">
        <v>2.5</v>
      </c>
      <c r="I15" s="3">
        <v>125</v>
      </c>
      <c r="J15" s="16">
        <f>H15*I15</f>
        <v>312.5</v>
      </c>
      <c r="K15" t="s">
        <v>99</v>
      </c>
      <c r="L15" s="15" t="s">
        <v>74</v>
      </c>
      <c r="M15" t="s">
        <v>71</v>
      </c>
      <c r="N15">
        <v>0</v>
      </c>
      <c r="O15" s="3">
        <v>138</v>
      </c>
      <c r="P15" s="16">
        <f>N15*O15</f>
        <v>0</v>
      </c>
      <c r="Q15" t="s">
        <v>149</v>
      </c>
      <c r="R15" s="15" t="s">
        <v>74</v>
      </c>
      <c r="S15" t="s">
        <v>71</v>
      </c>
      <c r="U15" s="3">
        <v>145</v>
      </c>
      <c r="V15" s="16">
        <f>T15*U15</f>
        <v>0</v>
      </c>
    </row>
    <row r="16" spans="1:23">
      <c r="A16" s="15"/>
      <c r="B16" t="s">
        <v>72</v>
      </c>
      <c r="C16">
        <v>0</v>
      </c>
      <c r="D16" s="3">
        <v>150</v>
      </c>
      <c r="E16" s="16">
        <f t="shared" ref="E16:E17" si="12">C16*D16</f>
        <v>0</v>
      </c>
      <c r="F16" s="15"/>
      <c r="G16" t="s">
        <v>72</v>
      </c>
      <c r="H16">
        <v>1</v>
      </c>
      <c r="I16" s="3">
        <v>160</v>
      </c>
      <c r="J16" s="16">
        <f t="shared" ref="J16:J17" si="13">H16*I16</f>
        <v>160</v>
      </c>
      <c r="L16" s="15"/>
      <c r="M16" t="s">
        <v>72</v>
      </c>
      <c r="N16">
        <v>0</v>
      </c>
      <c r="O16" s="3">
        <v>160</v>
      </c>
      <c r="P16" s="16">
        <f t="shared" ref="P16:P17" si="14">N16*O16</f>
        <v>0</v>
      </c>
      <c r="R16" s="15"/>
      <c r="S16" t="s">
        <v>72</v>
      </c>
      <c r="U16" s="3">
        <v>185</v>
      </c>
      <c r="V16" s="16">
        <f t="shared" ref="V16:V17" si="15">T16*U16</f>
        <v>0</v>
      </c>
    </row>
    <row r="17" spans="1:23">
      <c r="A17" s="15"/>
      <c r="B17" t="s">
        <v>73</v>
      </c>
      <c r="C17">
        <v>32</v>
      </c>
      <c r="D17" s="3">
        <v>15</v>
      </c>
      <c r="E17" s="16">
        <f t="shared" si="12"/>
        <v>480</v>
      </c>
      <c r="F17" s="15"/>
      <c r="G17" t="s">
        <v>73</v>
      </c>
      <c r="H17">
        <v>18</v>
      </c>
      <c r="I17" s="3">
        <v>20</v>
      </c>
      <c r="J17" s="16">
        <f t="shared" si="13"/>
        <v>360</v>
      </c>
      <c r="L17" s="15"/>
      <c r="M17" t="s">
        <v>73</v>
      </c>
      <c r="N17">
        <v>12</v>
      </c>
      <c r="O17" s="3">
        <v>20</v>
      </c>
      <c r="P17" s="16">
        <f t="shared" si="14"/>
        <v>240</v>
      </c>
      <c r="R17" s="15"/>
      <c r="S17" t="s">
        <v>73</v>
      </c>
      <c r="U17" s="3">
        <v>26</v>
      </c>
      <c r="V17" s="16">
        <f t="shared" si="15"/>
        <v>0</v>
      </c>
    </row>
    <row r="18" spans="1:23">
      <c r="A18" s="15" t="s">
        <v>75</v>
      </c>
      <c r="B18" t="s">
        <v>71</v>
      </c>
      <c r="C18">
        <f>12.5+24+24+10.5</f>
        <v>71</v>
      </c>
      <c r="D18" s="3">
        <v>115</v>
      </c>
      <c r="E18" s="16">
        <f>C18*D18</f>
        <v>8165</v>
      </c>
      <c r="F18" s="15" t="s">
        <v>75</v>
      </c>
      <c r="G18" t="s">
        <v>71</v>
      </c>
      <c r="H18">
        <v>1</v>
      </c>
      <c r="I18" s="3">
        <v>125</v>
      </c>
      <c r="J18" s="16">
        <f>H18*I18</f>
        <v>125</v>
      </c>
      <c r="K18" t="s">
        <v>100</v>
      </c>
      <c r="L18" s="15" t="s">
        <v>75</v>
      </c>
      <c r="M18" t="s">
        <v>71</v>
      </c>
      <c r="N18">
        <v>5.5</v>
      </c>
      <c r="O18" s="3">
        <v>138</v>
      </c>
      <c r="P18" s="16">
        <f>N18*O18</f>
        <v>759</v>
      </c>
      <c r="Q18" t="s">
        <v>148</v>
      </c>
      <c r="R18" s="15" t="s">
        <v>75</v>
      </c>
      <c r="S18" t="s">
        <v>71</v>
      </c>
      <c r="T18">
        <v>4</v>
      </c>
      <c r="U18" s="3">
        <v>145</v>
      </c>
      <c r="V18" s="16">
        <f>T18*U18</f>
        <v>580</v>
      </c>
      <c r="W18" t="s">
        <v>169</v>
      </c>
    </row>
    <row r="19" spans="1:23">
      <c r="A19" s="15"/>
      <c r="B19" t="s">
        <v>72</v>
      </c>
      <c r="C19">
        <v>0</v>
      </c>
      <c r="D19" s="3">
        <v>150</v>
      </c>
      <c r="E19" s="16">
        <f t="shared" ref="E19:E20" si="16">C19*D19</f>
        <v>0</v>
      </c>
      <c r="F19" s="15"/>
      <c r="G19" t="s">
        <v>72</v>
      </c>
      <c r="H19">
        <v>1</v>
      </c>
      <c r="I19" s="3">
        <v>160</v>
      </c>
      <c r="J19" s="16">
        <f t="shared" ref="J19:J20" si="17">H19*I19</f>
        <v>160</v>
      </c>
      <c r="L19" s="15"/>
      <c r="M19" t="s">
        <v>72</v>
      </c>
      <c r="N19">
        <v>0</v>
      </c>
      <c r="O19" s="3">
        <v>160</v>
      </c>
      <c r="P19" s="16">
        <f t="shared" ref="P19:P20" si="18">N19*O19</f>
        <v>0</v>
      </c>
      <c r="R19" s="15"/>
      <c r="S19" t="s">
        <v>72</v>
      </c>
      <c r="U19" s="3">
        <v>185</v>
      </c>
      <c r="V19" s="16">
        <f t="shared" ref="V19:V20" si="19">T19*U19</f>
        <v>0</v>
      </c>
    </row>
    <row r="20" spans="1:23">
      <c r="A20" s="15"/>
      <c r="B20" t="s">
        <v>73</v>
      </c>
      <c r="C20">
        <v>53</v>
      </c>
      <c r="D20" s="3">
        <v>15</v>
      </c>
      <c r="E20" s="16">
        <f t="shared" si="16"/>
        <v>795</v>
      </c>
      <c r="F20" s="15"/>
      <c r="G20" t="s">
        <v>73</v>
      </c>
      <c r="H20">
        <v>55</v>
      </c>
      <c r="I20" s="3">
        <v>20</v>
      </c>
      <c r="J20" s="16">
        <f t="shared" si="17"/>
        <v>1100</v>
      </c>
      <c r="L20" s="15"/>
      <c r="M20" t="s">
        <v>73</v>
      </c>
      <c r="N20">
        <v>176</v>
      </c>
      <c r="O20" s="3">
        <v>20</v>
      </c>
      <c r="P20" s="16">
        <f t="shared" si="18"/>
        <v>3520</v>
      </c>
      <c r="R20" s="15"/>
      <c r="S20" t="s">
        <v>73</v>
      </c>
      <c r="T20">
        <v>58</v>
      </c>
      <c r="U20" s="3">
        <v>26</v>
      </c>
      <c r="V20" s="16">
        <f t="shared" si="19"/>
        <v>1508</v>
      </c>
    </row>
    <row r="21" spans="1:23">
      <c r="A21" s="15" t="s">
        <v>76</v>
      </c>
      <c r="B21" t="s">
        <v>71</v>
      </c>
      <c r="C21">
        <f>13+11+6</f>
        <v>30</v>
      </c>
      <c r="D21" s="3">
        <v>115</v>
      </c>
      <c r="E21" s="16">
        <f>C21*D21</f>
        <v>3450</v>
      </c>
      <c r="F21" s="15" t="s">
        <v>76</v>
      </c>
      <c r="G21" t="s">
        <v>71</v>
      </c>
      <c r="H21">
        <v>6</v>
      </c>
      <c r="I21" s="3">
        <v>125</v>
      </c>
      <c r="J21" s="16">
        <f>H21*I21</f>
        <v>750</v>
      </c>
      <c r="K21" t="s">
        <v>102</v>
      </c>
      <c r="L21" s="15" t="s">
        <v>76</v>
      </c>
      <c r="M21" t="s">
        <v>71</v>
      </c>
      <c r="N21">
        <v>20.5</v>
      </c>
      <c r="O21" s="3">
        <v>138</v>
      </c>
      <c r="P21" s="16">
        <f>N21*O21</f>
        <v>2829</v>
      </c>
      <c r="Q21" t="s">
        <v>147</v>
      </c>
      <c r="R21" s="15" t="s">
        <v>76</v>
      </c>
      <c r="S21" t="s">
        <v>71</v>
      </c>
      <c r="T21">
        <v>18</v>
      </c>
      <c r="U21" s="3">
        <v>145</v>
      </c>
      <c r="V21" s="16">
        <f>T21*U21</f>
        <v>2610</v>
      </c>
      <c r="W21" t="s">
        <v>170</v>
      </c>
    </row>
    <row r="22" spans="1:23">
      <c r="A22" s="15"/>
      <c r="B22" t="s">
        <v>72</v>
      </c>
      <c r="C22">
        <v>0</v>
      </c>
      <c r="D22" s="3">
        <v>150</v>
      </c>
      <c r="E22" s="16">
        <f t="shared" ref="E22:E23" si="20">C22*D22</f>
        <v>0</v>
      </c>
      <c r="F22" s="15"/>
      <c r="G22" t="s">
        <v>72</v>
      </c>
      <c r="H22">
        <v>0</v>
      </c>
      <c r="I22" s="3">
        <v>160</v>
      </c>
      <c r="J22" s="16">
        <f t="shared" ref="J22:J23" si="21">H22*I22</f>
        <v>0</v>
      </c>
      <c r="L22" s="15"/>
      <c r="M22" t="s">
        <v>72</v>
      </c>
      <c r="N22">
        <v>0</v>
      </c>
      <c r="O22" s="3">
        <v>160</v>
      </c>
      <c r="P22" s="16">
        <f t="shared" ref="P22:P23" si="22">N22*O22</f>
        <v>0</v>
      </c>
      <c r="R22" s="15"/>
      <c r="S22" t="s">
        <v>72</v>
      </c>
      <c r="T22">
        <v>3.5</v>
      </c>
      <c r="U22" s="3">
        <v>185</v>
      </c>
      <c r="V22" s="16">
        <f t="shared" ref="V22:V23" si="23">T22*U22</f>
        <v>647.5</v>
      </c>
    </row>
    <row r="23" spans="1:23">
      <c r="A23" s="15"/>
      <c r="B23" t="s">
        <v>73</v>
      </c>
      <c r="C23">
        <v>187</v>
      </c>
      <c r="D23" s="3">
        <v>15</v>
      </c>
      <c r="E23" s="16">
        <f t="shared" si="20"/>
        <v>2805</v>
      </c>
      <c r="F23" s="15"/>
      <c r="G23" t="s">
        <v>73</v>
      </c>
      <c r="H23">
        <v>65</v>
      </c>
      <c r="I23" s="3">
        <v>20</v>
      </c>
      <c r="J23" s="16">
        <f t="shared" si="21"/>
        <v>1300</v>
      </c>
      <c r="L23" s="15"/>
      <c r="M23" t="s">
        <v>73</v>
      </c>
      <c r="N23">
        <v>106</v>
      </c>
      <c r="O23" s="3">
        <v>20</v>
      </c>
      <c r="P23" s="16">
        <f t="shared" si="22"/>
        <v>2120</v>
      </c>
      <c r="R23" s="15"/>
      <c r="S23" t="s">
        <v>73</v>
      </c>
      <c r="T23" s="57">
        <v>611</v>
      </c>
      <c r="U23" s="3">
        <v>26</v>
      </c>
      <c r="V23" s="16">
        <f t="shared" si="23"/>
        <v>15886</v>
      </c>
    </row>
    <row r="24" spans="1:23">
      <c r="A24" s="15" t="s">
        <v>77</v>
      </c>
      <c r="B24" t="s">
        <v>71</v>
      </c>
      <c r="C24">
        <f>3+11+4</f>
        <v>18</v>
      </c>
      <c r="D24" s="3">
        <v>115</v>
      </c>
      <c r="E24" s="16">
        <f>C24*D24</f>
        <v>2070</v>
      </c>
      <c r="F24" s="15" t="s">
        <v>77</v>
      </c>
      <c r="G24" t="s">
        <v>71</v>
      </c>
      <c r="H24">
        <v>7</v>
      </c>
      <c r="I24" s="3">
        <v>125</v>
      </c>
      <c r="J24" s="16">
        <f>H24*I24</f>
        <v>875</v>
      </c>
      <c r="K24" t="s">
        <v>101</v>
      </c>
      <c r="L24" s="15" t="s">
        <v>77</v>
      </c>
      <c r="M24" t="s">
        <v>71</v>
      </c>
      <c r="N24">
        <v>11</v>
      </c>
      <c r="O24" s="3">
        <v>138</v>
      </c>
      <c r="P24" s="16">
        <f>N24*O24</f>
        <v>1518</v>
      </c>
      <c r="Q24" t="s">
        <v>146</v>
      </c>
      <c r="R24" s="15" t="s">
        <v>77</v>
      </c>
      <c r="S24" t="s">
        <v>71</v>
      </c>
      <c r="T24">
        <v>26</v>
      </c>
      <c r="U24" s="3">
        <v>145</v>
      </c>
      <c r="V24" s="16">
        <f>T24*U24</f>
        <v>3770</v>
      </c>
      <c r="W24" t="s">
        <v>171</v>
      </c>
    </row>
    <row r="25" spans="1:23">
      <c r="A25" s="15"/>
      <c r="B25" t="s">
        <v>72</v>
      </c>
      <c r="C25">
        <v>2</v>
      </c>
      <c r="D25" s="3">
        <v>150</v>
      </c>
      <c r="E25" s="16">
        <f t="shared" ref="E25:E26" si="24">C25*D25</f>
        <v>300</v>
      </c>
      <c r="F25" s="15"/>
      <c r="G25" t="s">
        <v>72</v>
      </c>
      <c r="H25">
        <v>2.5</v>
      </c>
      <c r="I25" s="3">
        <v>160</v>
      </c>
      <c r="J25" s="16">
        <f t="shared" ref="J25:J26" si="25">H25*I25</f>
        <v>400</v>
      </c>
      <c r="L25" s="15"/>
      <c r="M25" t="s">
        <v>72</v>
      </c>
      <c r="N25">
        <v>0</v>
      </c>
      <c r="O25" s="3">
        <v>160</v>
      </c>
      <c r="P25" s="16">
        <f t="shared" ref="P25:P26" si="26">N25*O25</f>
        <v>0</v>
      </c>
      <c r="R25" s="15"/>
      <c r="S25" t="s">
        <v>72</v>
      </c>
      <c r="T25">
        <v>1</v>
      </c>
      <c r="U25" s="3">
        <v>185</v>
      </c>
      <c r="V25" s="16">
        <f t="shared" ref="V25:V26" si="27">T25*U25</f>
        <v>185</v>
      </c>
    </row>
    <row r="26" spans="1:23">
      <c r="A26" s="15"/>
      <c r="B26" t="s">
        <v>73</v>
      </c>
      <c r="C26">
        <v>121</v>
      </c>
      <c r="D26" s="3">
        <v>15</v>
      </c>
      <c r="E26" s="16">
        <f t="shared" si="24"/>
        <v>1815</v>
      </c>
      <c r="F26" s="15"/>
      <c r="G26" t="s">
        <v>73</v>
      </c>
      <c r="H26">
        <v>54</v>
      </c>
      <c r="I26" s="3">
        <v>20</v>
      </c>
      <c r="J26" s="16">
        <f t="shared" si="25"/>
        <v>1080</v>
      </c>
      <c r="L26" s="15"/>
      <c r="M26" t="s">
        <v>73</v>
      </c>
      <c r="N26">
        <v>100</v>
      </c>
      <c r="O26" s="3">
        <v>20</v>
      </c>
      <c r="P26" s="16">
        <f t="shared" si="26"/>
        <v>2000</v>
      </c>
      <c r="R26" s="15"/>
      <c r="S26" t="s">
        <v>73</v>
      </c>
      <c r="T26">
        <v>95</v>
      </c>
      <c r="U26" s="3">
        <v>26</v>
      </c>
      <c r="V26" s="16">
        <f t="shared" si="27"/>
        <v>2470</v>
      </c>
    </row>
    <row r="27" spans="1:23">
      <c r="A27" s="15" t="s">
        <v>78</v>
      </c>
      <c r="B27" t="s">
        <v>71</v>
      </c>
      <c r="C27">
        <f>10+6+4+12+4</f>
        <v>36</v>
      </c>
      <c r="D27" s="3">
        <v>115</v>
      </c>
      <c r="E27" s="16">
        <f>C27*D27</f>
        <v>4140</v>
      </c>
      <c r="F27" s="15" t="s">
        <v>78</v>
      </c>
      <c r="G27" t="s">
        <v>71</v>
      </c>
      <c r="H27">
        <v>22</v>
      </c>
      <c r="I27" s="3">
        <v>125</v>
      </c>
      <c r="J27" s="16">
        <f>H27*I27</f>
        <v>2750</v>
      </c>
      <c r="K27" t="s">
        <v>103</v>
      </c>
      <c r="L27" s="15" t="s">
        <v>78</v>
      </c>
      <c r="M27" t="s">
        <v>71</v>
      </c>
      <c r="N27" s="52">
        <v>0</v>
      </c>
      <c r="O27" s="3">
        <v>138</v>
      </c>
      <c r="P27" s="16">
        <f>N27*O27</f>
        <v>0</v>
      </c>
      <c r="Q27" s="53" t="s">
        <v>157</v>
      </c>
      <c r="R27" s="15" t="s">
        <v>78</v>
      </c>
      <c r="S27" t="s">
        <v>71</v>
      </c>
      <c r="T27">
        <v>32</v>
      </c>
      <c r="U27" s="3">
        <v>145</v>
      </c>
      <c r="V27" s="16">
        <f>T27*U27</f>
        <v>4640</v>
      </c>
      <c r="W27" t="s">
        <v>172</v>
      </c>
    </row>
    <row r="28" spans="1:23">
      <c r="A28" s="15"/>
      <c r="B28" t="s">
        <v>72</v>
      </c>
      <c r="C28">
        <v>1</v>
      </c>
      <c r="D28" s="3">
        <v>150</v>
      </c>
      <c r="E28" s="16">
        <f t="shared" ref="E28:E29" si="28">C28*D28</f>
        <v>150</v>
      </c>
      <c r="F28" s="15"/>
      <c r="G28" t="s">
        <v>72</v>
      </c>
      <c r="H28">
        <v>1.5</v>
      </c>
      <c r="I28" s="3">
        <v>160</v>
      </c>
      <c r="J28" s="16">
        <f t="shared" ref="J28:J29" si="29">H28*I28</f>
        <v>240</v>
      </c>
      <c r="L28" s="15"/>
      <c r="M28" t="s">
        <v>72</v>
      </c>
      <c r="N28" s="52">
        <v>0</v>
      </c>
      <c r="O28" s="3">
        <v>160</v>
      </c>
      <c r="P28" s="16">
        <f t="shared" ref="P28:P29" si="30">N28*O28</f>
        <v>0</v>
      </c>
      <c r="R28" s="15"/>
      <c r="S28" t="s">
        <v>72</v>
      </c>
      <c r="U28" s="3">
        <v>185</v>
      </c>
      <c r="V28" s="16">
        <f t="shared" ref="V28:V29" si="31">T28*U28</f>
        <v>0</v>
      </c>
    </row>
    <row r="29" spans="1:23">
      <c r="A29" s="15"/>
      <c r="B29" t="s">
        <v>73</v>
      </c>
      <c r="C29">
        <v>158</v>
      </c>
      <c r="D29" s="3">
        <v>15</v>
      </c>
      <c r="E29" s="16">
        <f t="shared" si="28"/>
        <v>2370</v>
      </c>
      <c r="F29" s="15"/>
      <c r="G29" t="s">
        <v>73</v>
      </c>
      <c r="H29">
        <v>64</v>
      </c>
      <c r="I29" s="3">
        <v>20</v>
      </c>
      <c r="J29" s="16">
        <f t="shared" si="29"/>
        <v>1280</v>
      </c>
      <c r="L29" s="15"/>
      <c r="M29" t="s">
        <v>73</v>
      </c>
      <c r="N29" s="52">
        <v>0</v>
      </c>
      <c r="O29" s="3">
        <v>20</v>
      </c>
      <c r="P29" s="16">
        <f t="shared" si="30"/>
        <v>0</v>
      </c>
      <c r="R29" s="15"/>
      <c r="S29" t="s">
        <v>73</v>
      </c>
      <c r="T29">
        <v>95</v>
      </c>
      <c r="U29" s="3">
        <v>26</v>
      </c>
      <c r="V29" s="16">
        <f t="shared" si="31"/>
        <v>2470</v>
      </c>
    </row>
    <row r="30" spans="1:23">
      <c r="A30" s="15" t="s">
        <v>79</v>
      </c>
      <c r="B30" t="s">
        <v>71</v>
      </c>
      <c r="C30">
        <f>1+3+3+2+6+3</f>
        <v>18</v>
      </c>
      <c r="D30" s="3">
        <v>115</v>
      </c>
      <c r="E30" s="16">
        <f>C30*D30</f>
        <v>2070</v>
      </c>
      <c r="F30" s="15" t="s">
        <v>79</v>
      </c>
      <c r="G30" t="s">
        <v>71</v>
      </c>
      <c r="H30">
        <v>13</v>
      </c>
      <c r="I30" s="3">
        <v>125</v>
      </c>
      <c r="J30" s="16">
        <f>H30*I30</f>
        <v>1625</v>
      </c>
      <c r="K30" t="s">
        <v>104</v>
      </c>
      <c r="L30" s="15" t="s">
        <v>79</v>
      </c>
      <c r="M30" t="s">
        <v>71</v>
      </c>
      <c r="N30">
        <v>40</v>
      </c>
      <c r="O30" s="3">
        <v>138</v>
      </c>
      <c r="P30" s="16">
        <f>N30*O30</f>
        <v>5520</v>
      </c>
      <c r="Q30" t="s">
        <v>145</v>
      </c>
      <c r="R30" s="15" t="s">
        <v>79</v>
      </c>
      <c r="S30" t="s">
        <v>71</v>
      </c>
      <c r="T30">
        <v>11.5</v>
      </c>
      <c r="U30" s="3">
        <v>145</v>
      </c>
      <c r="V30" s="16">
        <f>T30*U30</f>
        <v>1667.5</v>
      </c>
      <c r="W30" t="s">
        <v>173</v>
      </c>
    </row>
    <row r="31" spans="1:23">
      <c r="A31" s="15"/>
      <c r="B31" t="s">
        <v>72</v>
      </c>
      <c r="C31">
        <v>1</v>
      </c>
      <c r="D31" s="3">
        <v>150</v>
      </c>
      <c r="E31" s="16">
        <f t="shared" ref="E31:E32" si="32">C31*D31</f>
        <v>150</v>
      </c>
      <c r="F31" s="15"/>
      <c r="G31" t="s">
        <v>72</v>
      </c>
      <c r="H31">
        <v>1</v>
      </c>
      <c r="I31" s="3">
        <v>160</v>
      </c>
      <c r="J31" s="16">
        <f t="shared" ref="J31:J32" si="33">H31*I31</f>
        <v>160</v>
      </c>
      <c r="L31" s="15"/>
      <c r="M31" t="s">
        <v>72</v>
      </c>
      <c r="N31">
        <v>0</v>
      </c>
      <c r="O31" s="3">
        <v>160</v>
      </c>
      <c r="P31" s="16">
        <f t="shared" ref="P31:P32" si="34">N31*O31</f>
        <v>0</v>
      </c>
      <c r="R31" s="15"/>
      <c r="S31" t="s">
        <v>72</v>
      </c>
      <c r="U31" s="3">
        <v>185</v>
      </c>
      <c r="V31" s="16">
        <f t="shared" ref="V31:V32" si="35">T31*U31</f>
        <v>0</v>
      </c>
    </row>
    <row r="32" spans="1:23">
      <c r="A32" s="15"/>
      <c r="B32" t="s">
        <v>73</v>
      </c>
      <c r="C32">
        <v>68</v>
      </c>
      <c r="D32" s="3">
        <v>15</v>
      </c>
      <c r="E32" s="16">
        <f t="shared" si="32"/>
        <v>1020</v>
      </c>
      <c r="F32" s="15"/>
      <c r="G32" t="s">
        <v>73</v>
      </c>
      <c r="H32">
        <v>49</v>
      </c>
      <c r="I32" s="3">
        <v>20</v>
      </c>
      <c r="J32" s="16">
        <f t="shared" si="33"/>
        <v>980</v>
      </c>
      <c r="L32" s="15"/>
      <c r="M32" t="s">
        <v>73</v>
      </c>
      <c r="N32">
        <v>34</v>
      </c>
      <c r="O32" s="3">
        <v>20</v>
      </c>
      <c r="P32" s="16">
        <f t="shared" si="34"/>
        <v>680</v>
      </c>
      <c r="R32" s="15"/>
      <c r="S32" t="s">
        <v>73</v>
      </c>
      <c r="T32">
        <v>154</v>
      </c>
      <c r="U32" s="3">
        <v>26</v>
      </c>
      <c r="V32" s="16">
        <f t="shared" si="35"/>
        <v>4004</v>
      </c>
    </row>
    <row r="33" spans="1:22">
      <c r="A33" s="15" t="s">
        <v>80</v>
      </c>
      <c r="B33" t="s">
        <v>71</v>
      </c>
      <c r="C33">
        <v>4</v>
      </c>
      <c r="D33" s="3">
        <v>115</v>
      </c>
      <c r="E33" s="16">
        <f>C33*D33</f>
        <v>460</v>
      </c>
      <c r="F33" s="15" t="s">
        <v>80</v>
      </c>
      <c r="G33" t="s">
        <v>71</v>
      </c>
      <c r="H33">
        <v>5.5</v>
      </c>
      <c r="I33" s="3">
        <v>125</v>
      </c>
      <c r="J33" s="16">
        <f>H33*I33</f>
        <v>687.5</v>
      </c>
      <c r="K33" t="s">
        <v>105</v>
      </c>
      <c r="L33" s="15" t="s">
        <v>80</v>
      </c>
      <c r="M33" t="s">
        <v>71</v>
      </c>
      <c r="N33">
        <v>7</v>
      </c>
      <c r="O33" s="3">
        <v>138</v>
      </c>
      <c r="P33" s="16">
        <f>N33*O33</f>
        <v>966</v>
      </c>
      <c r="Q33" t="s">
        <v>144</v>
      </c>
      <c r="R33" s="15" t="s">
        <v>80</v>
      </c>
      <c r="S33" t="s">
        <v>71</v>
      </c>
      <c r="U33" s="3">
        <v>145</v>
      </c>
      <c r="V33" s="16">
        <f>T33*U33</f>
        <v>0</v>
      </c>
    </row>
    <row r="34" spans="1:22">
      <c r="A34" s="15"/>
      <c r="B34" t="s">
        <v>72</v>
      </c>
      <c r="C34">
        <v>1</v>
      </c>
      <c r="D34" s="3">
        <v>150</v>
      </c>
      <c r="E34" s="16">
        <f t="shared" ref="E34:E35" si="36">C34*D34</f>
        <v>150</v>
      </c>
      <c r="F34" s="15"/>
      <c r="G34" t="s">
        <v>72</v>
      </c>
      <c r="H34">
        <v>0</v>
      </c>
      <c r="I34" s="3">
        <v>160</v>
      </c>
      <c r="J34" s="16">
        <f t="shared" ref="J34:J35" si="37">H34*I34</f>
        <v>0</v>
      </c>
      <c r="L34" s="15"/>
      <c r="M34" t="s">
        <v>72</v>
      </c>
      <c r="N34">
        <v>9</v>
      </c>
      <c r="O34" s="3">
        <v>160</v>
      </c>
      <c r="P34" s="16">
        <f t="shared" ref="P34:P35" si="38">N34*O34</f>
        <v>1440</v>
      </c>
      <c r="R34" s="15"/>
      <c r="S34" t="s">
        <v>72</v>
      </c>
      <c r="U34" s="3">
        <v>185</v>
      </c>
      <c r="V34" s="16">
        <f t="shared" ref="V34:V35" si="39">T34*U34</f>
        <v>0</v>
      </c>
    </row>
    <row r="35" spans="1:22">
      <c r="A35" s="15"/>
      <c r="B35" t="s">
        <v>73</v>
      </c>
      <c r="C35">
        <v>65</v>
      </c>
      <c r="D35" s="3">
        <v>15</v>
      </c>
      <c r="E35" s="16">
        <f t="shared" si="36"/>
        <v>975</v>
      </c>
      <c r="F35" s="15"/>
      <c r="G35" t="s">
        <v>73</v>
      </c>
      <c r="H35">
        <v>59</v>
      </c>
      <c r="I35" s="3">
        <v>20</v>
      </c>
      <c r="J35" s="16">
        <f t="shared" si="37"/>
        <v>1180</v>
      </c>
      <c r="L35" s="15"/>
      <c r="M35" t="s">
        <v>73</v>
      </c>
      <c r="N35">
        <v>77</v>
      </c>
      <c r="O35" s="3">
        <v>20</v>
      </c>
      <c r="P35" s="16">
        <f t="shared" si="38"/>
        <v>1540</v>
      </c>
      <c r="R35" s="15"/>
      <c r="S35" t="s">
        <v>73</v>
      </c>
      <c r="U35" s="3">
        <v>26</v>
      </c>
      <c r="V35" s="16">
        <f t="shared" si="39"/>
        <v>0</v>
      </c>
    </row>
    <row r="36" spans="1:22">
      <c r="A36" s="15" t="s">
        <v>81</v>
      </c>
      <c r="B36" t="s">
        <v>71</v>
      </c>
      <c r="C36">
        <v>1.5</v>
      </c>
      <c r="D36" s="3">
        <v>115</v>
      </c>
      <c r="E36" s="16">
        <f>C36*D36</f>
        <v>172.5</v>
      </c>
      <c r="F36" s="15" t="s">
        <v>81</v>
      </c>
      <c r="G36" t="s">
        <v>71</v>
      </c>
      <c r="H36">
        <v>3.5</v>
      </c>
      <c r="I36" s="3">
        <v>125</v>
      </c>
      <c r="J36" s="16">
        <f>H36*I36</f>
        <v>437.5</v>
      </c>
      <c r="K36" t="s">
        <v>110</v>
      </c>
      <c r="L36" s="15" t="s">
        <v>81</v>
      </c>
      <c r="M36" t="s">
        <v>71</v>
      </c>
      <c r="N36">
        <v>0</v>
      </c>
      <c r="O36" s="3">
        <v>138</v>
      </c>
      <c r="P36" s="16">
        <f>N36*O36</f>
        <v>0</v>
      </c>
      <c r="Q36" t="s">
        <v>143</v>
      </c>
      <c r="R36" s="15" t="s">
        <v>81</v>
      </c>
      <c r="S36" t="s">
        <v>71</v>
      </c>
      <c r="U36" s="3">
        <v>145</v>
      </c>
      <c r="V36" s="16">
        <f>T36*U36</f>
        <v>0</v>
      </c>
    </row>
    <row r="37" spans="1:22">
      <c r="A37" s="15"/>
      <c r="B37" t="s">
        <v>72</v>
      </c>
      <c r="C37">
        <v>0</v>
      </c>
      <c r="D37" s="3">
        <v>150</v>
      </c>
      <c r="E37" s="16">
        <f t="shared" ref="E37:E38" si="40">C37*D37</f>
        <v>0</v>
      </c>
      <c r="F37" s="15"/>
      <c r="G37" t="s">
        <v>72</v>
      </c>
      <c r="H37">
        <v>1</v>
      </c>
      <c r="I37" s="3">
        <v>160</v>
      </c>
      <c r="J37" s="16">
        <f t="shared" ref="J37:J38" si="41">H37*I37</f>
        <v>160</v>
      </c>
      <c r="L37" s="15"/>
      <c r="M37" t="s">
        <v>72</v>
      </c>
      <c r="N37">
        <v>3</v>
      </c>
      <c r="O37" s="3">
        <v>160</v>
      </c>
      <c r="P37" s="16">
        <f t="shared" ref="P37:P38" si="42">N37*O37</f>
        <v>480</v>
      </c>
      <c r="R37" s="15"/>
      <c r="S37" t="s">
        <v>72</v>
      </c>
      <c r="U37" s="3">
        <v>185</v>
      </c>
      <c r="V37" s="16">
        <f t="shared" ref="V37:V38" si="43">T37*U37</f>
        <v>0</v>
      </c>
    </row>
    <row r="38" spans="1:22" ht="15.75" thickBot="1">
      <c r="A38" s="15"/>
      <c r="B38" t="s">
        <v>73</v>
      </c>
      <c r="C38">
        <v>60</v>
      </c>
      <c r="D38" s="3">
        <v>15</v>
      </c>
      <c r="E38" s="16">
        <f t="shared" si="40"/>
        <v>900</v>
      </c>
      <c r="F38" s="15"/>
      <c r="G38" t="s">
        <v>73</v>
      </c>
      <c r="H38">
        <v>88</v>
      </c>
      <c r="I38" s="3">
        <v>20</v>
      </c>
      <c r="J38" s="16">
        <f t="shared" si="41"/>
        <v>1760</v>
      </c>
      <c r="L38" s="15"/>
      <c r="M38" t="s">
        <v>73</v>
      </c>
      <c r="N38">
        <v>36</v>
      </c>
      <c r="O38" s="3">
        <v>20</v>
      </c>
      <c r="P38" s="16">
        <f t="shared" si="42"/>
        <v>720</v>
      </c>
      <c r="R38" s="15"/>
      <c r="S38" t="s">
        <v>73</v>
      </c>
      <c r="U38" s="3">
        <v>26</v>
      </c>
      <c r="V38" s="16">
        <f t="shared" si="43"/>
        <v>0</v>
      </c>
    </row>
    <row r="39" spans="1:22">
      <c r="A39" s="15" t="s">
        <v>82</v>
      </c>
      <c r="B39" t="s">
        <v>71</v>
      </c>
      <c r="C39">
        <f>AVERAGE(C3,C6,C9,C12,C15,C18,C21,C24,C27,C30,C33,C36)</f>
        <v>17.666666666666668</v>
      </c>
      <c r="D39" s="3">
        <v>115</v>
      </c>
      <c r="E39" s="16">
        <f>C39*D39</f>
        <v>2031.6666666666667</v>
      </c>
      <c r="F39" s="15" t="s">
        <v>82</v>
      </c>
      <c r="G39" t="s">
        <v>71</v>
      </c>
      <c r="H39" s="54">
        <f>AVERAGE(H3,H6,H9,H12,H15,H18,H21,H24,H27,H30,H33,H36)</f>
        <v>7.291666666666667</v>
      </c>
      <c r="I39" s="3">
        <v>125</v>
      </c>
      <c r="J39" s="16">
        <f>H39*I39</f>
        <v>911.45833333333337</v>
      </c>
      <c r="L39" s="15" t="s">
        <v>82</v>
      </c>
      <c r="M39" t="s">
        <v>71</v>
      </c>
      <c r="N39" s="54">
        <f>AVERAGE(N3,N6,N9,N15,N18,N21,N24,N27,N30,N33,N36,N12)</f>
        <v>7.416666666666667</v>
      </c>
      <c r="O39" s="3">
        <v>138</v>
      </c>
      <c r="P39" s="16">
        <f>N39*O39</f>
        <v>1023.5</v>
      </c>
      <c r="R39" s="15" t="s">
        <v>82</v>
      </c>
      <c r="S39" t="s">
        <v>71</v>
      </c>
      <c r="T39" s="54">
        <f>AVERAGE(T3,T6,T9,T15,T18,T21,T24,T27,T30,T33,T36,T12)</f>
        <v>19.4375</v>
      </c>
      <c r="U39" s="3">
        <v>145</v>
      </c>
      <c r="V39" s="16">
        <f>T39*U39</f>
        <v>2818.4375</v>
      </c>
    </row>
    <row r="40" spans="1:22">
      <c r="A40" s="15"/>
      <c r="B40" t="s">
        <v>72</v>
      </c>
      <c r="C40">
        <f>AVERAGE(C4,C7,C10,C13,C16,C19,C22,C25,C28,C31,C34,C37)</f>
        <v>0.58333333333333337</v>
      </c>
      <c r="D40" s="3">
        <v>150</v>
      </c>
      <c r="E40" s="16">
        <f t="shared" ref="E40:E41" si="44">C40*D40</f>
        <v>87.5</v>
      </c>
      <c r="F40" s="15"/>
      <c r="G40" t="s">
        <v>72</v>
      </c>
      <c r="H40" s="55">
        <f>AVERAGE(H4,H7,H10,H13,H16,H19,H22,H25,H28,H31,H34,H37)</f>
        <v>0.75</v>
      </c>
      <c r="I40" s="3">
        <v>160</v>
      </c>
      <c r="J40" s="16">
        <f>H40*I40</f>
        <v>120</v>
      </c>
      <c r="L40" s="15"/>
      <c r="M40" t="s">
        <v>72</v>
      </c>
      <c r="N40" s="55">
        <f t="shared" ref="N40:N41" si="45">AVERAGE(N4,N7,N10,N16,N19,N22,N25,N28,N31,N34,N37,N13)</f>
        <v>1.6666666666666667</v>
      </c>
      <c r="O40" s="3">
        <v>160</v>
      </c>
      <c r="P40" s="16">
        <f>N40*O40</f>
        <v>266.66666666666669</v>
      </c>
      <c r="R40" s="15"/>
      <c r="S40" t="s">
        <v>72</v>
      </c>
      <c r="T40" s="55">
        <f t="shared" ref="T40:T41" si="46">AVERAGE(T4,T7,T10,T16,T19,T22,T25,T28,T31,T34,T37,T13)</f>
        <v>2.1666666666666665</v>
      </c>
      <c r="U40" s="3">
        <v>185</v>
      </c>
      <c r="V40" s="16">
        <f>T40*U40</f>
        <v>400.83333333333331</v>
      </c>
    </row>
    <row r="41" spans="1:22" ht="15.75" thickBot="1">
      <c r="A41" s="17"/>
      <c r="B41" s="18" t="s">
        <v>73</v>
      </c>
      <c r="C41" s="18">
        <f>AVERAGE(C5,C8,C11,C14,C17,C20,C23,C26,C29,C32,C35,C38)</f>
        <v>70.75</v>
      </c>
      <c r="D41" s="19">
        <v>15</v>
      </c>
      <c r="E41" s="20">
        <f t="shared" si="44"/>
        <v>1061.25</v>
      </c>
      <c r="F41" s="17"/>
      <c r="G41" s="18" t="s">
        <v>73</v>
      </c>
      <c r="H41" s="56">
        <f>AVERAGE(H5,H8,H11,H14,H17,H20,H23,H26,H29,H32,H35,H38)</f>
        <v>49.083333333333336</v>
      </c>
      <c r="I41" s="3">
        <v>20</v>
      </c>
      <c r="J41" s="20">
        <f>H41*I41</f>
        <v>981.66666666666674</v>
      </c>
      <c r="L41" s="17"/>
      <c r="M41" s="18" t="s">
        <v>73</v>
      </c>
      <c r="N41" s="56">
        <f t="shared" si="45"/>
        <v>53.333333333333336</v>
      </c>
      <c r="O41" s="3">
        <v>20</v>
      </c>
      <c r="P41" s="20">
        <f>N41*O41</f>
        <v>1066.6666666666667</v>
      </c>
      <c r="R41" s="17"/>
      <c r="S41" s="18" t="s">
        <v>73</v>
      </c>
      <c r="T41" s="56">
        <f t="shared" si="46"/>
        <v>139.875</v>
      </c>
      <c r="U41" s="3">
        <v>26</v>
      </c>
      <c r="V41" s="20">
        <f>T41*U41</f>
        <v>3636.75</v>
      </c>
    </row>
  </sheetData>
  <sheetProtection algorithmName="SHA-512" hashValue="okBq8EpkkKfsXipJOqYtBZ+20jgopS9itkuetRpZoLXfiKaFZIoQ8A1J+qRO00Y+h4JSJ6B6zGu3/5j2Biq3gw==" saltValue="BdrOWlplwNGR5qLnAfwzIA==" spinCount="100000" sheet="1" objects="1" scenarios="1" selectLockedCells="1" selectUnlockedCells="1"/>
  <mergeCells count="4">
    <mergeCell ref="A1:E1"/>
    <mergeCell ref="F1:J1"/>
    <mergeCell ref="L1:P1"/>
    <mergeCell ref="R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11-18-24 FINAL Budget</vt:lpstr>
      <vt:lpstr>2</vt:lpstr>
      <vt:lpstr>3</vt:lpstr>
      <vt:lpstr>4</vt:lpstr>
      <vt:lpstr>5</vt:lpstr>
      <vt:lpstr>'11-18-24 FINAL Budget'!Print_Area</vt:lpstr>
      <vt:lpstr>'2'!Print_Area</vt:lpstr>
      <vt:lpstr>'3'!Print_Area</vt:lpstr>
      <vt:lpstr>'11-18-24 FINAL Budget'!Print_Titles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Meeks</dc:creator>
  <cp:lastModifiedBy>Rebecca Hill</cp:lastModifiedBy>
  <cp:lastPrinted>2024-11-13T21:25:47Z</cp:lastPrinted>
  <dcterms:created xsi:type="dcterms:W3CDTF">2018-10-01T14:27:47Z</dcterms:created>
  <dcterms:modified xsi:type="dcterms:W3CDTF">2025-01-15T18:15:41Z</dcterms:modified>
</cp:coreProperties>
</file>